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minyoungkim/Downloads/"/>
    </mc:Choice>
  </mc:AlternateContent>
  <xr:revisionPtr revIDLastSave="0" documentId="8_{EC180BFE-5402-4A41-8B48-413618BB130E}" xr6:coauthVersionLast="47" xr6:coauthVersionMax="47" xr10:uidLastSave="{00000000-0000-0000-0000-000000000000}"/>
  <bookViews>
    <workbookView xWindow="0" yWindow="600" windowWidth="43900" windowHeight="29340" tabRatio="500" activeTab="6" xr2:uid="{00000000-000D-0000-FFFF-FFFF00000000}"/>
  </bookViews>
  <sheets>
    <sheet name="Assumptions" sheetId="1" r:id="rId1"/>
    <sheet name="SOTP_Revenue" sheetId="2" r:id="rId2"/>
    <sheet name="DCF" sheetId="3" r:id="rId3"/>
    <sheet name="Beta" sheetId="4" r:id="rId4"/>
    <sheet name="Scenarios" sheetId="5" r:id="rId5"/>
    <sheet name="Sensitivity" sheetId="6" r:id="rId6"/>
    <sheet name="Pricing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4" l="1"/>
  <c r="B20" i="4"/>
  <c r="E17" i="4"/>
  <c r="D17" i="4"/>
  <c r="B51" i="3"/>
  <c r="B38" i="3"/>
  <c r="B21" i="3"/>
  <c r="B19" i="3"/>
  <c r="B9" i="2"/>
  <c r="B8" i="2"/>
  <c r="B7" i="2"/>
  <c r="B6" i="2"/>
  <c r="C49" i="7"/>
  <c r="E47" i="7"/>
  <c r="C47" i="7"/>
  <c r="C45" i="7"/>
  <c r="C44" i="7"/>
  <c r="C43" i="7"/>
  <c r="I39" i="7"/>
  <c r="H39" i="7"/>
  <c r="F39" i="7"/>
  <c r="I38" i="7"/>
  <c r="H38" i="7"/>
  <c r="F38" i="7"/>
  <c r="I37" i="7"/>
  <c r="H37" i="7"/>
  <c r="F37" i="7"/>
  <c r="I36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I29" i="7"/>
  <c r="H29" i="7"/>
  <c r="F29" i="7"/>
  <c r="I28" i="7"/>
  <c r="H28" i="7"/>
  <c r="F28" i="7"/>
  <c r="H27" i="7"/>
  <c r="F27" i="7"/>
  <c r="H26" i="7"/>
  <c r="F26" i="7"/>
  <c r="H25" i="7"/>
  <c r="F25" i="7"/>
  <c r="H24" i="7"/>
  <c r="F24" i="7"/>
  <c r="H23" i="7"/>
  <c r="F23" i="7"/>
  <c r="H22" i="7"/>
  <c r="F22" i="7"/>
  <c r="I21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B22" i="4" l="1"/>
  <c r="C9" i="2"/>
  <c r="D9" i="2" s="1"/>
  <c r="C48" i="7"/>
  <c r="B10" i="2"/>
  <c r="B5" i="3" s="1"/>
  <c r="C8" i="2"/>
  <c r="D8" i="2" s="1"/>
  <c r="E8" i="2" s="1"/>
  <c r="F8" i="2" s="1"/>
  <c r="G8" i="2" s="1"/>
  <c r="H8" i="2" s="1"/>
  <c r="I8" i="2" s="1"/>
  <c r="J8" i="2" s="1"/>
  <c r="K8" i="2" s="1"/>
  <c r="L8" i="2" s="1"/>
  <c r="C7" i="2"/>
  <c r="D7" i="2" s="1"/>
  <c r="E7" i="2" s="1"/>
  <c r="F7" i="2" s="1"/>
  <c r="G7" i="2" s="1"/>
  <c r="H7" i="2" s="1"/>
  <c r="I7" i="2" s="1"/>
  <c r="J7" i="2" s="1"/>
  <c r="K7" i="2" s="1"/>
  <c r="L7" i="2" s="1"/>
  <c r="C6" i="2"/>
  <c r="I35" i="7"/>
  <c r="I34" i="7"/>
  <c r="I33" i="7"/>
  <c r="I32" i="7"/>
  <c r="I31" i="7"/>
  <c r="I30" i="7"/>
  <c r="I27" i="7"/>
  <c r="I26" i="7"/>
  <c r="I25" i="7"/>
  <c r="I24" i="7"/>
  <c r="I23" i="7"/>
  <c r="I22" i="7"/>
  <c r="I20" i="7"/>
  <c r="I19" i="7"/>
  <c r="I18" i="7"/>
  <c r="I17" i="7"/>
  <c r="I16" i="7"/>
  <c r="I15" i="7"/>
  <c r="I14" i="7"/>
  <c r="I13" i="7"/>
  <c r="I12" i="7"/>
  <c r="I11" i="7"/>
  <c r="B31" i="3" l="1"/>
  <c r="B35" i="3"/>
  <c r="B7" i="3"/>
  <c r="B8" i="3" s="1"/>
  <c r="D6" i="2"/>
  <c r="C10" i="2"/>
  <c r="E45" i="7"/>
  <c r="E43" i="7"/>
  <c r="E44" i="7"/>
  <c r="E9" i="2"/>
  <c r="F9" i="2" s="1"/>
  <c r="G9" i="2" s="1"/>
  <c r="H9" i="2" s="1"/>
  <c r="I9" i="2" s="1"/>
  <c r="J9" i="2" s="1"/>
  <c r="K9" i="2" s="1"/>
  <c r="L9" i="2" s="1"/>
  <c r="B23" i="4"/>
  <c r="B27" i="4" s="1"/>
  <c r="B32" i="4" s="1"/>
  <c r="B33" i="4" s="1"/>
  <c r="B9" i="1" s="1"/>
  <c r="B32" i="3" l="1"/>
  <c r="E6" i="2"/>
  <c r="D10" i="2"/>
  <c r="C11" i="2"/>
  <c r="C5" i="3"/>
  <c r="D11" i="3"/>
  <c r="K11" i="3"/>
  <c r="C11" i="3"/>
  <c r="E11" i="3"/>
  <c r="F11" i="3"/>
  <c r="G11" i="3"/>
  <c r="H11" i="3"/>
  <c r="I11" i="3"/>
  <c r="J11" i="3"/>
  <c r="L11" i="3"/>
  <c r="F6" i="2" l="1"/>
  <c r="E10" i="2"/>
  <c r="D11" i="2"/>
  <c r="D5" i="3"/>
  <c r="C7" i="3"/>
  <c r="C8" i="3" s="1"/>
  <c r="C31" i="3"/>
  <c r="C34" i="3"/>
  <c r="C35" i="3"/>
  <c r="B33" i="3"/>
  <c r="B9" i="3" s="1"/>
  <c r="B10" i="3" s="1"/>
  <c r="G6" i="2" l="1"/>
  <c r="F10" i="2"/>
  <c r="E11" i="2"/>
  <c r="E5" i="3"/>
  <c r="D31" i="3"/>
  <c r="D34" i="3"/>
  <c r="D35" i="3"/>
  <c r="D7" i="3"/>
  <c r="D8" i="3" s="1"/>
  <c r="C39" i="3"/>
  <c r="D32" i="3"/>
  <c r="C32" i="3"/>
  <c r="H6" i="2" l="1"/>
  <c r="G10" i="2"/>
  <c r="F11" i="2"/>
  <c r="F5" i="3"/>
  <c r="E7" i="3"/>
  <c r="E8" i="3" s="1"/>
  <c r="E31" i="3"/>
  <c r="E34" i="3"/>
  <c r="E35" i="3"/>
  <c r="D33" i="3"/>
  <c r="C33" i="3"/>
  <c r="C9" i="3" s="1"/>
  <c r="D9" i="3"/>
  <c r="D40" i="3" s="1"/>
  <c r="I6" i="2" l="1"/>
  <c r="H10" i="2"/>
  <c r="G11" i="2"/>
  <c r="B13" i="2"/>
  <c r="G5" i="3"/>
  <c r="F7" i="3"/>
  <c r="F8" i="3" s="1"/>
  <c r="F31" i="3"/>
  <c r="F34" i="3"/>
  <c r="F35" i="3"/>
  <c r="E32" i="3"/>
  <c r="F32" i="3"/>
  <c r="E33" i="3"/>
  <c r="C10" i="3"/>
  <c r="C12" i="3" s="1"/>
  <c r="C40" i="3"/>
  <c r="C38" i="3"/>
  <c r="D10" i="3"/>
  <c r="D12" i="3" s="1"/>
  <c r="J6" i="2" l="1"/>
  <c r="I10" i="2"/>
  <c r="H5" i="3"/>
  <c r="H11" i="2"/>
  <c r="G31" i="3"/>
  <c r="G34" i="3"/>
  <c r="G35" i="3"/>
  <c r="G7" i="3"/>
  <c r="G8" i="3" s="1"/>
  <c r="F33" i="3"/>
  <c r="D39" i="3"/>
  <c r="D38" i="3"/>
  <c r="E9" i="3"/>
  <c r="G32" i="3"/>
  <c r="F9" i="3"/>
  <c r="F40" i="3" s="1"/>
  <c r="K6" i="2" l="1"/>
  <c r="J10" i="2"/>
  <c r="I5" i="3"/>
  <c r="I11" i="2"/>
  <c r="H7" i="3"/>
  <c r="H8" i="3" s="1"/>
  <c r="H31" i="3"/>
  <c r="H34" i="3"/>
  <c r="H35" i="3"/>
  <c r="G33" i="3"/>
  <c r="E39" i="3"/>
  <c r="E38" i="3"/>
  <c r="E10" i="3"/>
  <c r="E12" i="3" s="1"/>
  <c r="E40" i="3"/>
  <c r="F10" i="3"/>
  <c r="F12" i="3" s="1"/>
  <c r="L6" i="2" l="1"/>
  <c r="L10" i="2" s="1"/>
  <c r="K10" i="2"/>
  <c r="J5" i="3"/>
  <c r="J11" i="2"/>
  <c r="I7" i="3"/>
  <c r="I8" i="3" s="1"/>
  <c r="I31" i="3"/>
  <c r="I34" i="3"/>
  <c r="I35" i="3"/>
  <c r="H32" i="3"/>
  <c r="H33" i="3"/>
  <c r="F39" i="3"/>
  <c r="F38" i="3"/>
  <c r="G9" i="3"/>
  <c r="H9" i="3"/>
  <c r="H40" i="3" s="1"/>
  <c r="L11" i="2" l="1"/>
  <c r="L5" i="3"/>
  <c r="K11" i="2"/>
  <c r="K5" i="3"/>
  <c r="J7" i="3"/>
  <c r="J8" i="3" s="1"/>
  <c r="J31" i="3"/>
  <c r="J34" i="3"/>
  <c r="J35" i="3"/>
  <c r="I32" i="3"/>
  <c r="I33" i="3"/>
  <c r="I9" i="3" s="1"/>
  <c r="I40" i="3" s="1"/>
  <c r="G39" i="3"/>
  <c r="G38" i="3"/>
  <c r="G10" i="3"/>
  <c r="G12" i="3" s="1"/>
  <c r="G40" i="3"/>
  <c r="H10" i="3"/>
  <c r="H12" i="3" s="1"/>
  <c r="L7" i="3" l="1"/>
  <c r="L8" i="3" s="1"/>
  <c r="L31" i="3"/>
  <c r="L34" i="3"/>
  <c r="L35" i="3"/>
  <c r="K7" i="3"/>
  <c r="K8" i="3" s="1"/>
  <c r="K31" i="3"/>
  <c r="K34" i="3"/>
  <c r="K35" i="3"/>
  <c r="H39" i="3"/>
  <c r="H38" i="3"/>
  <c r="I10" i="3"/>
  <c r="I12" i="3" s="1"/>
  <c r="J32" i="3"/>
  <c r="J33" i="3" s="1"/>
  <c r="I39" i="3" l="1"/>
  <c r="I38" i="3"/>
  <c r="K32" i="3"/>
  <c r="K33" i="3" s="1"/>
  <c r="J9" i="3"/>
  <c r="L32" i="3"/>
  <c r="L33" i="3" s="1"/>
  <c r="J39" i="3" l="1"/>
  <c r="J38" i="3"/>
  <c r="J10" i="3"/>
  <c r="J12" i="3" s="1"/>
  <c r="J40" i="3"/>
  <c r="L9" i="3"/>
  <c r="K9" i="3"/>
  <c r="K39" i="3" l="1"/>
  <c r="K38" i="3"/>
  <c r="L10" i="3"/>
  <c r="L40" i="3"/>
  <c r="K10" i="3"/>
  <c r="K12" i="3" s="1"/>
  <c r="K40" i="3"/>
  <c r="L39" i="3" l="1"/>
  <c r="L38" i="3"/>
  <c r="B16" i="3"/>
  <c r="B17" i="3" s="1"/>
  <c r="L12" i="3"/>
  <c r="B15" i="3" s="1"/>
  <c r="B18" i="3" s="1"/>
  <c r="B20" i="3" s="1"/>
  <c r="B22" i="3" s="1"/>
  <c r="B24" i="3" s="1"/>
  <c r="B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38" authorId="0" shapeId="0" xr:uid="{00000000-0006-0000-0200-000001000000}">
      <text>
        <r>
          <rPr>
            <sz val="10"/>
            <rFont val="Arial"/>
            <family val="2"/>
          </rPr>
          <t>Equity+Debt−Cash+R&amp;D</t>
        </r>
        <r>
          <rPr>
            <sz val="10"/>
            <rFont val="Noto Sans CJK SC"/>
            <family val="2"/>
          </rPr>
          <t>자산화누적</t>
        </r>
        <r>
          <rPr>
            <sz val="10"/>
            <rFont val="Arial"/>
            <family val="2"/>
          </rPr>
          <t>. Equity</t>
        </r>
        <r>
          <rPr>
            <sz val="10"/>
            <rFont val="Noto Sans CJK SC"/>
            <family val="2"/>
          </rPr>
          <t xml:space="preserve">는 </t>
        </r>
        <r>
          <rPr>
            <sz val="10"/>
            <rFont val="Arial"/>
            <family val="2"/>
          </rPr>
          <t xml:space="preserve">ROE 12.6% </t>
        </r>
        <r>
          <rPr>
            <sz val="10"/>
            <rFont val="Noto Sans CJK SC"/>
            <family val="2"/>
          </rPr>
          <t xml:space="preserve">역산 근사치 — </t>
        </r>
        <r>
          <rPr>
            <sz val="10"/>
            <rFont val="Arial"/>
            <family val="2"/>
          </rPr>
          <t xml:space="preserve">10-K </t>
        </r>
        <r>
          <rPr>
            <sz val="10"/>
            <rFont val="Noto Sans CJK SC"/>
            <family val="2"/>
          </rPr>
          <t>대차대조표로 확정 권장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0" authorId="0" shapeId="0" xr:uid="{00000000-0006-0000-0600-000001000000}">
      <text>
        <r>
          <rPr>
            <sz val="10"/>
            <rFont val="Arial"/>
            <family val="2"/>
          </rPr>
          <t>TIKR GAAP forward PE (</t>
        </r>
        <r>
          <rPr>
            <sz val="10"/>
            <rFont val="Noto Sans CJK SC"/>
            <family val="2"/>
          </rPr>
          <t>또는 주가</t>
        </r>
        <r>
          <rPr>
            <sz val="10"/>
            <rFont val="Arial"/>
            <family val="2"/>
          </rPr>
          <t>/</t>
        </r>
        <r>
          <rPr>
            <sz val="10"/>
            <rFont val="Noto Sans CJK SC"/>
            <family val="2"/>
          </rPr>
          <t>현재</t>
        </r>
        <r>
          <rPr>
            <sz val="10"/>
            <rFont val="Arial"/>
            <family val="2"/>
          </rPr>
          <t>GAAP EPS)</t>
        </r>
      </text>
    </comment>
    <comment ref="D10" authorId="0" shapeId="0" xr:uid="{00000000-0006-0000-0600-000002000000}">
      <text>
        <r>
          <rPr>
            <sz val="10"/>
            <rFont val="Arial"/>
            <family val="2"/>
          </rPr>
          <t xml:space="preserve">TIKR </t>
        </r>
        <r>
          <rPr>
            <sz val="10"/>
            <rFont val="Noto Sans CJK SC"/>
            <family val="2"/>
          </rPr>
          <t xml:space="preserve">현재 </t>
        </r>
        <r>
          <rPr>
            <sz val="10"/>
            <rFont val="Arial"/>
            <family val="2"/>
          </rPr>
          <t>GAAP EPS</t>
        </r>
      </text>
    </comment>
    <comment ref="E10" authorId="0" shapeId="0" xr:uid="{00000000-0006-0000-0600-000003000000}">
      <text>
        <r>
          <rPr>
            <sz val="10"/>
            <rFont val="Arial"/>
            <family val="2"/>
          </rPr>
          <t>TIKR 5</t>
        </r>
        <r>
          <rPr>
            <sz val="10"/>
            <rFont val="Noto Sans CJK SC"/>
            <family val="2"/>
          </rPr>
          <t xml:space="preserve">년 후 </t>
        </r>
        <r>
          <rPr>
            <sz val="10"/>
            <rFont val="Arial"/>
            <family val="2"/>
          </rPr>
          <t xml:space="preserve">GAAP EPS </t>
        </r>
        <r>
          <rPr>
            <sz val="10"/>
            <rFont val="Noto Sans CJK SC"/>
            <family val="2"/>
          </rPr>
          <t>컨센서스</t>
        </r>
      </text>
    </comment>
    <comment ref="J10" authorId="0" shapeId="0" xr:uid="{00000000-0006-0000-0600-000004000000}">
      <text>
        <r>
          <rPr>
            <sz val="10"/>
            <rFont val="Arial"/>
            <family val="2"/>
          </rPr>
          <t>52</t>
        </r>
        <r>
          <rPr>
            <sz val="10"/>
            <rFont val="Noto Sans CJK SC"/>
            <family val="2"/>
          </rPr>
          <t>주 고점 대비 현재가 하락률 — 디레이팅 정도</t>
        </r>
        <r>
          <rPr>
            <sz val="10"/>
            <rFont val="Arial"/>
            <family val="2"/>
          </rPr>
          <t>. TIKR/Yahoo</t>
        </r>
        <r>
          <rPr>
            <sz val="10"/>
            <rFont val="Noto Sans CJK SC"/>
            <family val="2"/>
          </rPr>
          <t>로 교체</t>
        </r>
      </text>
    </comment>
  </commentList>
</comments>
</file>

<file path=xl/sharedStrings.xml><?xml version="1.0" encoding="utf-8"?>
<sst xmlns="http://schemas.openxmlformats.org/spreadsheetml/2006/main" count="292" uniqueCount="222">
  <si>
    <r>
      <rPr>
        <b/>
        <sz val="13"/>
        <color rgb="FFFFFFFF"/>
        <rFont val="Arial"/>
        <family val="2"/>
        <charset val="1"/>
      </rPr>
      <t xml:space="preserve">Veeva Systems (VEEV) — DCF </t>
    </r>
    <r>
      <rPr>
        <b/>
        <sz val="13"/>
        <color rgb="FFFFFFFF"/>
        <rFont val="Noto Sans CJK SC"/>
        <family val="2"/>
      </rPr>
      <t>가정</t>
    </r>
  </si>
  <si>
    <t>기준: FY26 (2026.1.31 종료), R&amp;D 자산화 기준 / 단위 $M / 작성 2026.5</t>
  </si>
  <si>
    <t>■ 핵심 변수 (슬라이더 — 노란 셀을 바꿔보세요)</t>
  </si>
  <si>
    <r>
      <rPr>
        <sz val="10"/>
        <color rgb="FF000000"/>
        <rFont val="Arial"/>
        <family val="2"/>
        <charset val="1"/>
      </rPr>
      <t xml:space="preserve">R&amp;D/Quality </t>
    </r>
    <r>
      <rPr>
        <sz val="10"/>
        <color rgb="FF000000"/>
        <rFont val="Noto Sans CJK SC"/>
        <family val="2"/>
      </rPr>
      <t xml:space="preserve">초기 성장률 </t>
    </r>
    <r>
      <rPr>
        <sz val="10"/>
        <color rgb="FF000000"/>
        <rFont val="Arial"/>
        <family val="2"/>
        <charset val="1"/>
      </rPr>
      <t>(1</t>
    </r>
    <r>
      <rPr>
        <sz val="10"/>
        <color rgb="FF000000"/>
        <rFont val="Noto Sans CJK SC"/>
        <family val="2"/>
      </rPr>
      <t>년차</t>
    </r>
    <r>
      <rPr>
        <sz val="10"/>
        <color rgb="FF000000"/>
        <rFont val="Arial"/>
        <family val="2"/>
        <charset val="1"/>
      </rPr>
      <t>)</t>
    </r>
  </si>
  <si>
    <r>
      <rPr>
        <sz val="10"/>
        <color rgb="FF000000"/>
        <rFont val="Arial"/>
        <family val="2"/>
        <charset val="1"/>
      </rPr>
      <t xml:space="preserve">Commercial-CRM </t>
    </r>
    <r>
      <rPr>
        <sz val="10"/>
        <color rgb="FF000000"/>
        <rFont val="Noto Sans CJK SC"/>
        <family val="2"/>
      </rPr>
      <t xml:space="preserve">점유율 침식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 xml:space="preserve">연 </t>
    </r>
    <r>
      <rPr>
        <sz val="10"/>
        <color rgb="FF000000"/>
        <rFont val="Arial"/>
        <family val="2"/>
        <charset val="1"/>
      </rPr>
      <t>%p)</t>
    </r>
  </si>
  <si>
    <r>
      <rPr>
        <sz val="10"/>
        <color rgb="FF000000"/>
        <rFont val="Arial"/>
        <family val="2"/>
        <charset val="1"/>
      </rPr>
      <t xml:space="preserve">R&amp;D </t>
    </r>
    <r>
      <rPr>
        <sz val="10"/>
        <color rgb="FF000000"/>
        <rFont val="Noto Sans CJK SC"/>
        <family val="2"/>
      </rPr>
      <t xml:space="preserve">자산화 상각기간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년</t>
    </r>
    <r>
      <rPr>
        <sz val="10"/>
        <color rgb="FF000000"/>
        <rFont val="Arial"/>
        <family val="2"/>
        <charset val="1"/>
      </rPr>
      <t>)</t>
    </r>
  </si>
  <si>
    <r>
      <rPr>
        <sz val="10"/>
        <color rgb="FF000000"/>
        <rFont val="Arial"/>
        <family val="2"/>
        <charset val="1"/>
      </rPr>
      <t>Terminal Growth (= 10</t>
    </r>
    <r>
      <rPr>
        <sz val="10"/>
        <color rgb="FF000000"/>
        <rFont val="Noto Sans CJK SC"/>
        <family val="2"/>
      </rPr>
      <t>년 국채</t>
    </r>
    <r>
      <rPr>
        <sz val="10"/>
        <color rgb="FF000000"/>
        <rFont val="Arial"/>
        <family val="2"/>
        <charset val="1"/>
      </rPr>
      <t>)</t>
    </r>
  </si>
  <si>
    <t>WACC</t>
  </si>
  <si>
    <t>세율 (effective)</t>
  </si>
  <si>
    <r>
      <rPr>
        <b/>
        <sz val="11"/>
        <color rgb="FFFFFFFF"/>
        <rFont val="Arial"/>
        <family val="2"/>
        <charset val="1"/>
      </rPr>
      <t xml:space="preserve">■ FY26 </t>
    </r>
    <r>
      <rPr>
        <b/>
        <sz val="11"/>
        <color rgb="FFFFFFFF"/>
        <rFont val="Noto Sans CJK SC"/>
        <family val="2"/>
      </rPr>
      <t xml:space="preserve">베이스 </t>
    </r>
    <r>
      <rPr>
        <b/>
        <sz val="11"/>
        <color rgb="FFFFFFFF"/>
        <rFont val="Arial"/>
        <family val="2"/>
        <charset val="1"/>
      </rPr>
      <t>(Source: 10-K/8-K FY2026)</t>
    </r>
  </si>
  <si>
    <t>총매출</t>
  </si>
  <si>
    <t>구독 매출</t>
  </si>
  <si>
    <t>전문서비스 매출</t>
  </si>
  <si>
    <r>
      <rPr>
        <sz val="10"/>
        <color rgb="FF000000"/>
        <rFont val="Arial"/>
        <family val="2"/>
        <charset val="1"/>
      </rPr>
      <t xml:space="preserve">R&amp;D and Quality </t>
    </r>
    <r>
      <rPr>
        <sz val="10"/>
        <color rgb="FF000000"/>
        <rFont val="Noto Sans CJK SC"/>
        <family val="2"/>
      </rPr>
      <t>구독 비중</t>
    </r>
  </si>
  <si>
    <r>
      <rPr>
        <sz val="10"/>
        <color rgb="FF000000"/>
        <rFont val="Arial"/>
        <family val="2"/>
        <charset val="1"/>
      </rPr>
      <t xml:space="preserve">Commercial </t>
    </r>
    <r>
      <rPr>
        <sz val="10"/>
        <color rgb="FF000000"/>
        <rFont val="Noto Sans CJK SC"/>
        <family val="2"/>
      </rPr>
      <t>구독 비중</t>
    </r>
  </si>
  <si>
    <r>
      <rPr>
        <sz val="10"/>
        <color rgb="FF000000"/>
        <rFont val="Arial"/>
        <family val="2"/>
        <charset val="1"/>
      </rPr>
      <t xml:space="preserve">Commercial </t>
    </r>
    <r>
      <rPr>
        <sz val="10"/>
        <color rgb="FF000000"/>
        <rFont val="Noto Sans CJK SC"/>
        <family val="2"/>
      </rPr>
      <t xml:space="preserve">내 </t>
    </r>
    <r>
      <rPr>
        <sz val="10"/>
        <color rgb="FF000000"/>
        <rFont val="Arial"/>
        <family val="2"/>
        <charset val="1"/>
      </rPr>
      <t xml:space="preserve">CRM </t>
    </r>
    <r>
      <rPr>
        <sz val="10"/>
        <color rgb="FF000000"/>
        <rFont val="Noto Sans CJK SC"/>
        <family val="2"/>
      </rPr>
      <t xml:space="preserve">비중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추정</t>
    </r>
    <r>
      <rPr>
        <sz val="10"/>
        <color rgb="FF000000"/>
        <rFont val="Arial"/>
        <family val="2"/>
        <charset val="1"/>
      </rPr>
      <t>)</t>
    </r>
  </si>
  <si>
    <r>
      <rPr>
        <sz val="10"/>
        <color rgb="FF000000"/>
        <rFont val="Arial"/>
        <family val="2"/>
        <charset val="1"/>
      </rPr>
      <t xml:space="preserve">Commercial </t>
    </r>
    <r>
      <rPr>
        <sz val="10"/>
        <color rgb="FF000000"/>
        <rFont val="Noto Sans CJK SC"/>
        <family val="2"/>
      </rPr>
      <t xml:space="preserve">내 </t>
    </r>
    <r>
      <rPr>
        <sz val="10"/>
        <color rgb="FF000000"/>
        <rFont val="Arial"/>
        <family val="2"/>
        <charset val="1"/>
      </rPr>
      <t xml:space="preserve">Data </t>
    </r>
    <r>
      <rPr>
        <sz val="10"/>
        <color rgb="FF000000"/>
        <rFont val="Noto Sans CJK SC"/>
        <family val="2"/>
      </rPr>
      <t xml:space="preserve">비중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추정</t>
    </r>
    <r>
      <rPr>
        <sz val="10"/>
        <color rgb="FF000000"/>
        <rFont val="Arial"/>
        <family val="2"/>
        <charset val="1"/>
      </rPr>
      <t>)</t>
    </r>
  </si>
  <si>
    <r>
      <rPr>
        <sz val="10"/>
        <color rgb="FF000000"/>
        <rFont val="Arial"/>
        <family val="2"/>
        <charset val="1"/>
      </rPr>
      <t xml:space="preserve">GAAP </t>
    </r>
    <r>
      <rPr>
        <sz val="10"/>
        <color rgb="FF000000"/>
        <rFont val="Noto Sans CJK SC"/>
        <family val="2"/>
      </rPr>
      <t>영업이익</t>
    </r>
  </si>
  <si>
    <r>
      <rPr>
        <sz val="10"/>
        <color rgb="FF000000"/>
        <rFont val="Arial"/>
        <family val="2"/>
        <charset val="1"/>
      </rPr>
      <t xml:space="preserve">FY26 R&amp;D </t>
    </r>
    <r>
      <rPr>
        <sz val="10"/>
        <color rgb="FF000000"/>
        <rFont val="Noto Sans CJK SC"/>
        <family val="2"/>
      </rPr>
      <t>비용</t>
    </r>
  </si>
  <si>
    <t>순현금</t>
  </si>
  <si>
    <t>희석 주식수 (M)</t>
  </si>
  <si>
    <t>■ 시장 성장 가정 (추정)</t>
  </si>
  <si>
    <t>생명과학 CRM 시장 성장 (1-5년)</t>
  </si>
  <si>
    <r>
      <rPr>
        <sz val="10"/>
        <color rgb="FF000000"/>
        <rFont val="Arial"/>
        <family val="2"/>
        <charset val="1"/>
      </rPr>
      <t xml:space="preserve">CRM </t>
    </r>
    <r>
      <rPr>
        <sz val="10"/>
        <color rgb="FF000000"/>
        <rFont val="Noto Sans CJK SC"/>
        <family val="2"/>
      </rPr>
      <t xml:space="preserve">시장 성장 </t>
    </r>
    <r>
      <rPr>
        <sz val="10"/>
        <color rgb="FF000000"/>
        <rFont val="Arial"/>
        <family val="2"/>
        <charset val="1"/>
      </rPr>
      <t>(6-10</t>
    </r>
    <r>
      <rPr>
        <sz val="10"/>
        <color rgb="FF000000"/>
        <rFont val="Noto Sans CJK SC"/>
        <family val="2"/>
      </rPr>
      <t>년</t>
    </r>
    <r>
      <rPr>
        <sz val="10"/>
        <color rgb="FF000000"/>
        <rFont val="Arial"/>
        <family val="2"/>
        <charset val="1"/>
      </rPr>
      <t>)</t>
    </r>
  </si>
  <si>
    <r>
      <rPr>
        <sz val="10"/>
        <color rgb="FF000000"/>
        <rFont val="Arial"/>
        <family val="2"/>
        <charset val="1"/>
      </rPr>
      <t xml:space="preserve">Commercial-Data </t>
    </r>
    <r>
      <rPr>
        <sz val="10"/>
        <color rgb="FF000000"/>
        <rFont val="Noto Sans CJK SC"/>
        <family val="2"/>
      </rPr>
      <t xml:space="preserve">성장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초기</t>
    </r>
    <r>
      <rPr>
        <sz val="10"/>
        <color rgb="FF000000"/>
        <rFont val="Arial"/>
        <family val="2"/>
        <charset val="1"/>
      </rPr>
      <t>)</t>
    </r>
  </si>
  <si>
    <t>전문서비스 성장 (초기)</t>
  </si>
  <si>
    <r>
      <rPr>
        <b/>
        <sz val="12"/>
        <color rgb="FFFFFFFF"/>
        <rFont val="Arial"/>
        <family val="2"/>
        <charset val="1"/>
      </rPr>
      <t xml:space="preserve">Veeva SOTP </t>
    </r>
    <r>
      <rPr>
        <b/>
        <sz val="12"/>
        <color rgb="FFFFFFFF"/>
        <rFont val="Noto Sans CJK SC"/>
        <family val="2"/>
      </rPr>
      <t xml:space="preserve">매출 모델 </t>
    </r>
    <r>
      <rPr>
        <b/>
        <sz val="12"/>
        <color rgb="FFFFFFFF"/>
        <rFont val="Arial"/>
        <family val="2"/>
        <charset val="1"/>
      </rPr>
      <t>(10</t>
    </r>
    <r>
      <rPr>
        <b/>
        <sz val="12"/>
        <color rgb="FFFFFFFF"/>
        <rFont val="Noto Sans CJK SC"/>
        <family val="2"/>
      </rPr>
      <t>년</t>
    </r>
    <r>
      <rPr>
        <b/>
        <sz val="12"/>
        <color rgb="FFFFFFFF"/>
        <rFont val="Arial"/>
        <family val="2"/>
        <charset val="1"/>
      </rPr>
      <t>)</t>
    </r>
  </si>
  <si>
    <t>항목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</si>
  <si>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</si>
  <si>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</si>
  <si>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</si>
  <si>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</si>
  <si>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</si>
  <si>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</si>
  <si>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</si>
  <si>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</si>
  <si>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</si>
  <si>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</si>
  <si>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</si>
  <si>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r>
      <rPr>
        <sz val="10"/>
        <color rgb="FF000000"/>
        <rFont val="Arial"/>
        <family val="2"/>
        <charset val="1"/>
      </rPr>
      <t xml:space="preserve">Commercial-CRM </t>
    </r>
    <r>
      <rPr>
        <sz val="10"/>
        <color rgb="FF000000"/>
        <rFont val="Noto Sans CJK SC"/>
        <family val="2"/>
      </rPr>
      <t>점유율</t>
    </r>
  </si>
  <si>
    <t>R&amp;D and Quality</t>
  </si>
  <si>
    <t>Commercial-CRM</t>
  </si>
  <si>
    <t>Commercial-Data</t>
  </si>
  <si>
    <t>전문서비스</t>
  </si>
  <si>
    <t>총매출 성장률</t>
  </si>
  <si>
    <t>회사 2030 목표 $6,000M 대비 (FY31)</t>
  </si>
  <si>
    <r>
      <rPr>
        <b/>
        <sz val="12"/>
        <color rgb="FFFFFFFF"/>
        <rFont val="Arial"/>
        <family val="2"/>
        <charset val="1"/>
      </rPr>
      <t xml:space="preserve">Veeva DCF — R&amp;D </t>
    </r>
    <r>
      <rPr>
        <b/>
        <sz val="12"/>
        <color rgb="FFFFFFFF"/>
        <rFont val="Noto Sans CJK SC"/>
        <family val="2"/>
      </rPr>
      <t>자산화 기준</t>
    </r>
  </si>
  <si>
    <t>조정 영업마진 (자산화)</t>
  </si>
  <si>
    <t>조정 영업이익 (EBIT, 자산화)</t>
  </si>
  <si>
    <t>세후영업이익 (NOPAT)</t>
  </si>
  <si>
    <t>재투자 (운전자본+설비+R&amp;D자산화)</t>
  </si>
  <si>
    <r>
      <rPr>
        <b/>
        <sz val="10"/>
        <rFont val="Arial"/>
        <family val="2"/>
        <charset val="1"/>
      </rPr>
      <t>FCFF (</t>
    </r>
    <r>
      <rPr>
        <b/>
        <sz val="10"/>
        <rFont val="Noto Sans CJK SC"/>
        <family val="2"/>
      </rPr>
      <t>잉여현금흐름</t>
    </r>
    <r>
      <rPr>
        <b/>
        <sz val="10"/>
        <rFont val="Arial"/>
        <family val="2"/>
        <charset val="1"/>
      </rPr>
      <t>)</t>
    </r>
  </si>
  <si>
    <t>할인계수</t>
  </si>
  <si>
    <t>PV of FCFF</t>
  </si>
  <si>
    <t>■ 기업가치 → 주당 내재가치</t>
  </si>
  <si>
    <r>
      <rPr>
        <sz val="10"/>
        <color rgb="FF000000"/>
        <rFont val="Arial"/>
        <family val="2"/>
        <charset val="1"/>
      </rPr>
      <t>PV(</t>
    </r>
    <r>
      <rPr>
        <sz val="10"/>
        <color rgb="FF000000"/>
        <rFont val="Noto Sans CJK SC"/>
        <family val="2"/>
      </rPr>
      <t xml:space="preserve">명시구간 </t>
    </r>
    <r>
      <rPr>
        <sz val="10"/>
        <color rgb="FF000000"/>
        <rFont val="Arial"/>
        <family val="2"/>
        <charset val="1"/>
      </rPr>
      <t>FCFF, FY27-36)</t>
    </r>
  </si>
  <si>
    <r>
      <rPr>
        <sz val="10"/>
        <color rgb="FF000000"/>
        <rFont val="Arial"/>
        <family val="2"/>
        <charset val="1"/>
      </rPr>
      <t xml:space="preserve">Terminal Value (FY36 </t>
    </r>
    <r>
      <rPr>
        <sz val="10"/>
        <color rgb="FF000000"/>
        <rFont val="Noto Sans CJK SC"/>
        <family val="2"/>
      </rPr>
      <t>기준</t>
    </r>
    <r>
      <rPr>
        <sz val="10"/>
        <color rgb="FF000000"/>
        <rFont val="Arial"/>
        <family val="2"/>
        <charset val="1"/>
      </rPr>
      <t>)</t>
    </r>
  </si>
  <si>
    <t>PV(Terminal Value)</t>
  </si>
  <si>
    <t>기업가치 (EV)</t>
  </si>
  <si>
    <r>
      <rPr>
        <sz val="10"/>
        <color rgb="FF000000"/>
        <rFont val="Arial"/>
        <family val="2"/>
        <charset val="1"/>
      </rPr>
      <t xml:space="preserve">+ </t>
    </r>
    <r>
      <rPr>
        <sz val="10"/>
        <color rgb="FF000000"/>
        <rFont val="Noto Sans CJK SC"/>
        <family val="2"/>
      </rPr>
      <t>순현금</t>
    </r>
  </si>
  <si>
    <t>주주가치 (Equity Value)</t>
  </si>
  <si>
    <r>
      <rPr>
        <sz val="10"/>
        <color rgb="FF000000"/>
        <rFont val="Arial"/>
        <family val="2"/>
        <charset val="1"/>
      </rPr>
      <t xml:space="preserve">÷ </t>
    </r>
    <r>
      <rPr>
        <sz val="10"/>
        <color rgb="FF000000"/>
        <rFont val="Noto Sans CJK SC"/>
        <family val="2"/>
      </rPr>
      <t xml:space="preserve">희석주식수 </t>
    </r>
    <r>
      <rPr>
        <sz val="10"/>
        <color rgb="FF000000"/>
        <rFont val="Arial"/>
        <family val="2"/>
        <charset val="1"/>
      </rPr>
      <t>(M)</t>
    </r>
  </si>
  <si>
    <t>주당 내재가치 ($)</t>
  </si>
  <si>
    <t>현재 주가 (2026.5.18)</t>
  </si>
  <si>
    <t>상승여력 (Upside)</t>
  </si>
  <si>
    <r>
      <rPr>
        <sz val="10"/>
        <color rgb="FF000000"/>
        <rFont val="Arial"/>
        <family val="2"/>
        <charset val="1"/>
      </rPr>
      <t xml:space="preserve">Terminal Value </t>
    </r>
    <r>
      <rPr>
        <sz val="10"/>
        <color rgb="FF000000"/>
        <rFont val="Noto Sans CJK SC"/>
        <family val="2"/>
      </rPr>
      <t xml:space="preserve">비중 </t>
    </r>
    <r>
      <rPr>
        <sz val="10"/>
        <color rgb="FF000000"/>
        <rFont val="Arial"/>
        <family val="2"/>
        <charset val="1"/>
      </rPr>
      <t xml:space="preserve">(EV </t>
    </r>
    <r>
      <rPr>
        <sz val="10"/>
        <color rgb="FF000000"/>
        <rFont val="Noto Sans CJK SC"/>
        <family val="2"/>
      </rPr>
      <t>대비</t>
    </r>
    <r>
      <rPr>
        <sz val="10"/>
        <color rgb="FF000000"/>
        <rFont val="Arial"/>
        <family val="2"/>
        <charset val="1"/>
      </rPr>
      <t>)</t>
    </r>
  </si>
  <si>
    <r>
      <rPr>
        <b/>
        <sz val="11"/>
        <color rgb="FFFFFFFF"/>
        <rFont val="Arial"/>
        <family val="2"/>
        <charset val="1"/>
      </rPr>
      <t xml:space="preserve">■ R&amp;D </t>
    </r>
    <r>
      <rPr>
        <b/>
        <sz val="11"/>
        <color rgb="FFFFFFFF"/>
        <rFont val="Noto Sans CJK SC"/>
        <family val="2"/>
      </rPr>
      <t>자산화 보조계산</t>
    </r>
  </si>
  <si>
    <t>당해 R&amp;D 비용</t>
  </si>
  <si>
    <r>
      <rPr>
        <sz val="10"/>
        <color rgb="FF000000"/>
        <rFont val="Arial"/>
        <family val="2"/>
        <charset val="1"/>
      </rPr>
      <t xml:space="preserve">R&amp;D </t>
    </r>
    <r>
      <rPr>
        <sz val="10"/>
        <color rgb="FF000000"/>
        <rFont val="Noto Sans CJK SC"/>
        <family val="2"/>
      </rPr>
      <t xml:space="preserve">상각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상각기간 가정</t>
    </r>
    <r>
      <rPr>
        <sz val="10"/>
        <color rgb="FF000000"/>
        <rFont val="Arial"/>
        <family val="2"/>
        <charset val="1"/>
      </rPr>
      <t>)</t>
    </r>
  </si>
  <si>
    <t>순 R&amp;D 자산 증분 (R&amp;D−상각)</t>
  </si>
  <si>
    <t>운전자본 증분 (매출증분×2%)</t>
  </si>
  <si>
    <t>순설비투자 (매출×1%)</t>
  </si>
  <si>
    <t>■ ROIC / Sales-to-Capital</t>
  </si>
  <si>
    <t>Invested Capital</t>
  </si>
  <si>
    <r>
      <rPr>
        <sz val="10"/>
        <color rgb="FF000000"/>
        <rFont val="Arial"/>
        <family val="2"/>
        <charset val="1"/>
      </rPr>
      <t xml:space="preserve">ROIC (NOPAT / </t>
    </r>
    <r>
      <rPr>
        <sz val="10"/>
        <color rgb="FF000000"/>
        <rFont val="Noto Sans CJK SC"/>
        <family val="2"/>
      </rPr>
      <t>기초</t>
    </r>
    <r>
      <rPr>
        <sz val="10"/>
        <color rgb="FF000000"/>
        <rFont val="Arial"/>
        <family val="2"/>
        <charset val="1"/>
      </rPr>
      <t>IC)</t>
    </r>
  </si>
  <si>
    <r>
      <rPr>
        <sz val="10"/>
        <color rgb="FF000000"/>
        <rFont val="Arial"/>
        <family val="2"/>
        <charset val="1"/>
      </rPr>
      <t>Sales-to-Capital (</t>
    </r>
    <r>
      <rPr>
        <sz val="10"/>
        <color rgb="FF000000"/>
        <rFont val="Noto Sans CJK SC"/>
        <family val="2"/>
      </rPr>
      <t>매출증분</t>
    </r>
    <r>
      <rPr>
        <sz val="10"/>
        <color rgb="FF000000"/>
        <rFont val="Arial"/>
        <family val="2"/>
        <charset val="1"/>
      </rPr>
      <t>/</t>
    </r>
    <r>
      <rPr>
        <sz val="10"/>
        <color rgb="FF000000"/>
        <rFont val="Noto Sans CJK SC"/>
        <family val="2"/>
      </rPr>
      <t>재투자</t>
    </r>
    <r>
      <rPr>
        <sz val="10"/>
        <color rgb="FF000000"/>
        <rFont val="Arial"/>
        <family val="2"/>
        <charset val="1"/>
      </rPr>
      <t>)</t>
    </r>
  </si>
  <si>
    <t>과거 R&amp;D (상각계산용): FY22-FY26</t>
  </si>
  <si>
    <t>FY22</t>
  </si>
  <si>
    <t>FY23</t>
  </si>
  <si>
    <t>FY24</t>
  </si>
  <si>
    <t>FY25</t>
  </si>
  <si>
    <r>
      <rPr>
        <b/>
        <sz val="9"/>
        <color rgb="FF1B2A4A"/>
        <rFont val="Arial"/>
        <family val="2"/>
        <charset val="1"/>
      </rPr>
      <t xml:space="preserve">■ Invested Capital </t>
    </r>
    <r>
      <rPr>
        <b/>
        <sz val="9"/>
        <color rgb="FF1B2A4A"/>
        <rFont val="Noto Sans CJK SC"/>
        <family val="2"/>
      </rPr>
      <t xml:space="preserve">구성 </t>
    </r>
    <r>
      <rPr>
        <b/>
        <sz val="9"/>
        <color rgb="FF1B2A4A"/>
        <rFont val="Arial"/>
        <family val="2"/>
        <charset val="1"/>
      </rPr>
      <t>(</t>
    </r>
    <r>
      <rPr>
        <b/>
        <sz val="9"/>
        <color rgb="FF1B2A4A"/>
        <rFont val="Noto Sans CJK SC"/>
        <family val="2"/>
      </rPr>
      <t>네 정의</t>
    </r>
    <r>
      <rPr>
        <b/>
        <sz val="9"/>
        <color rgb="FF1B2A4A"/>
        <rFont val="Arial"/>
        <family val="2"/>
        <charset val="1"/>
      </rPr>
      <t>: Eq+Debt−Cash+R&amp;D</t>
    </r>
    <r>
      <rPr>
        <b/>
        <sz val="9"/>
        <color rgb="FF1B2A4A"/>
        <rFont val="Noto Sans CJK SC"/>
        <family val="2"/>
      </rPr>
      <t>자산</t>
    </r>
    <r>
      <rPr>
        <b/>
        <sz val="9"/>
        <color rgb="FF1B2A4A"/>
        <rFont val="Arial"/>
        <family val="2"/>
        <charset val="1"/>
      </rPr>
      <t>)</t>
    </r>
  </si>
  <si>
    <t xml:space="preserve">   장부 Equity (ROE역산 근사, 10-K확정필요)</t>
  </si>
  <si>
    <r>
      <rPr>
        <sz val="9"/>
        <color rgb="FF666666"/>
        <rFont val="Arial"/>
        <family val="2"/>
        <charset val="1"/>
      </rPr>
      <t xml:space="preserve">   Debt (</t>
    </r>
    <r>
      <rPr>
        <sz val="9"/>
        <color rgb="FF666666"/>
        <rFont val="Noto Sans CJK SC"/>
        <family val="2"/>
      </rPr>
      <t>무차입</t>
    </r>
    <r>
      <rPr>
        <sz val="9"/>
        <color rgb="FF666666"/>
        <rFont val="Arial"/>
        <family val="2"/>
        <charset val="1"/>
      </rPr>
      <t>)</t>
    </r>
  </si>
  <si>
    <r>
      <rPr>
        <sz val="9"/>
        <color rgb="FF666666"/>
        <rFont val="Arial"/>
        <family val="2"/>
        <charset val="1"/>
      </rPr>
      <t xml:space="preserve">   (−) Cash &amp; </t>
    </r>
    <r>
      <rPr>
        <sz val="9"/>
        <color rgb="FF666666"/>
        <rFont val="Noto Sans CJK SC"/>
        <family val="2"/>
      </rPr>
      <t>단기투자</t>
    </r>
  </si>
  <si>
    <r>
      <rPr>
        <sz val="9"/>
        <color rgb="FF666666"/>
        <rFont val="Arial"/>
        <family val="2"/>
        <charset val="1"/>
      </rPr>
      <t xml:space="preserve">   (+) R&amp;D </t>
    </r>
    <r>
      <rPr>
        <sz val="9"/>
        <color rgb="FF666666"/>
        <rFont val="Noto Sans CJK SC"/>
        <family val="2"/>
      </rPr>
      <t xml:space="preserve">자산화 누적 </t>
    </r>
    <r>
      <rPr>
        <sz val="9"/>
        <color rgb="FF666666"/>
        <rFont val="Arial"/>
        <family val="2"/>
        <charset val="1"/>
      </rPr>
      <t>(5</t>
    </r>
    <r>
      <rPr>
        <sz val="9"/>
        <color rgb="FF666666"/>
        <rFont val="Noto Sans CJK SC"/>
        <family val="2"/>
      </rPr>
      <t>년</t>
    </r>
    <r>
      <rPr>
        <sz val="9"/>
        <color rgb="FF666666"/>
        <rFont val="Arial"/>
        <family val="2"/>
        <charset val="1"/>
      </rPr>
      <t>)</t>
    </r>
  </si>
  <si>
    <t xml:space="preserve">   = Base Invested Capital (FY26)</t>
  </si>
  <si>
    <r>
      <rPr>
        <b/>
        <sz val="12"/>
        <color rgb="FFFFFFFF"/>
        <rFont val="Arial"/>
        <family val="2"/>
        <charset val="1"/>
      </rPr>
      <t xml:space="preserve">Veeva WACC / Beta (Damodaran </t>
    </r>
    <r>
      <rPr>
        <b/>
        <sz val="12"/>
        <color rgb="FFFFFFFF"/>
        <rFont val="Noto Sans CJK SC"/>
        <family val="2"/>
      </rPr>
      <t>방식</t>
    </r>
    <r>
      <rPr>
        <b/>
        <sz val="12"/>
        <color rgb="FFFFFFFF"/>
        <rFont val="Arial"/>
        <family val="2"/>
        <charset val="1"/>
      </rPr>
      <t>)</t>
    </r>
  </si>
  <si>
    <t>Peer</t>
  </si>
  <si>
    <t>Beta(5Y)</t>
  </si>
  <si>
    <t>Tax rate</t>
  </si>
  <si>
    <t>Market Cap</t>
  </si>
  <si>
    <t>Total Debt</t>
  </si>
  <si>
    <t>SPGI (S&amp;P Global)</t>
  </si>
  <si>
    <t>MCO (Moody's)</t>
  </si>
  <si>
    <t>MSCI</t>
  </si>
  <si>
    <t>VRSK (Verisk)</t>
  </si>
  <si>
    <t>FDS (FactSet)</t>
  </si>
  <si>
    <t>ROP (Roper)</t>
  </si>
  <si>
    <t>TYL (Tyler Tech)</t>
  </si>
  <si>
    <t>CRM (Salesforce)</t>
  </si>
  <si>
    <t>ADBE (Adobe)</t>
  </si>
  <si>
    <t>ADSK (Autodesk)</t>
  </si>
  <si>
    <t>WDAY (Workday)</t>
  </si>
  <si>
    <t>NOW (ServiceNow)</t>
  </si>
  <si>
    <t>INTU (Intuit)</t>
  </si>
  <si>
    <t>합계</t>
  </si>
  <si>
    <t>■ Levered → Unlevered → Relevered</t>
  </si>
  <si>
    <r>
      <rPr>
        <sz val="10"/>
        <color rgb="FF000000"/>
        <rFont val="Arial"/>
        <family val="2"/>
        <charset val="1"/>
      </rPr>
      <t xml:space="preserve">Peer </t>
    </r>
    <r>
      <rPr>
        <sz val="10"/>
        <color rgb="FF000000"/>
        <rFont val="Noto Sans CJK SC"/>
        <family val="2"/>
      </rPr>
      <t>베타 중간값</t>
    </r>
  </si>
  <si>
    <r>
      <rPr>
        <sz val="10"/>
        <color rgb="FF000000"/>
        <rFont val="Arial"/>
        <family val="2"/>
        <charset val="1"/>
      </rPr>
      <t xml:space="preserve">Peer </t>
    </r>
    <r>
      <rPr>
        <sz val="10"/>
        <color rgb="FF000000"/>
        <rFont val="Noto Sans CJK SC"/>
        <family val="2"/>
      </rPr>
      <t>세율 중간값</t>
    </r>
  </si>
  <si>
    <t>시장 부채비율 (D/E)</t>
  </si>
  <si>
    <t>Unlevered Beta</t>
  </si>
  <si>
    <r>
      <rPr>
        <i/>
        <sz val="9"/>
        <color rgb="FF666666"/>
        <rFont val="Arial"/>
        <family val="2"/>
        <charset val="1"/>
      </rPr>
      <t xml:space="preserve">  ▸ Damodaran Healthcare Info&amp;Tech (</t>
    </r>
    <r>
      <rPr>
        <i/>
        <sz val="9"/>
        <color rgb="FF666666"/>
        <rFont val="Noto Sans CJK SC"/>
        <family val="2"/>
      </rPr>
      <t>참조</t>
    </r>
    <r>
      <rPr>
        <i/>
        <sz val="9"/>
        <color rgb="FF666666"/>
        <rFont val="Arial"/>
        <family val="2"/>
        <charset val="1"/>
      </rPr>
      <t>)</t>
    </r>
  </si>
  <si>
    <r>
      <rPr>
        <i/>
        <sz val="9"/>
        <color rgb="FF666666"/>
        <rFont val="Arial"/>
        <family val="2"/>
        <charset val="1"/>
      </rPr>
      <t xml:space="preserve">  ▸ Damodaran Computer Services (</t>
    </r>
    <r>
      <rPr>
        <i/>
        <sz val="9"/>
        <color rgb="FF666666"/>
        <rFont val="Noto Sans CJK SC"/>
        <family val="2"/>
      </rPr>
      <t>참조</t>
    </r>
    <r>
      <rPr>
        <i/>
        <sz val="9"/>
        <color rgb="FF666666"/>
        <rFont val="Arial"/>
        <family val="2"/>
        <charset val="1"/>
      </rPr>
      <t>)</t>
    </r>
  </si>
  <si>
    <r>
      <rPr>
        <sz val="10"/>
        <color rgb="FF000000"/>
        <rFont val="Arial"/>
        <family val="2"/>
        <charset val="1"/>
      </rPr>
      <t xml:space="preserve">Veeva </t>
    </r>
    <r>
      <rPr>
        <sz val="10"/>
        <color rgb="FF000000"/>
        <rFont val="Noto Sans CJK SC"/>
        <family val="2"/>
      </rPr>
      <t xml:space="preserve">부채비율 </t>
    </r>
    <r>
      <rPr>
        <sz val="10"/>
        <color rgb="FF000000"/>
        <rFont val="Arial"/>
        <family val="2"/>
        <charset val="1"/>
      </rPr>
      <t xml:space="preserve">(D/E, </t>
    </r>
    <r>
      <rPr>
        <sz val="10"/>
        <color rgb="FF000000"/>
        <rFont val="Noto Sans CJK SC"/>
        <family val="2"/>
      </rPr>
      <t>무차입</t>
    </r>
    <r>
      <rPr>
        <sz val="10"/>
        <color rgb="FF000000"/>
        <rFont val="Arial"/>
        <family val="2"/>
        <charset val="1"/>
      </rPr>
      <t>)</t>
    </r>
  </si>
  <si>
    <t>Veeva Relevered Beta</t>
  </si>
  <si>
    <t>■ Cost of Capital (WACC)</t>
  </si>
  <si>
    <t>무위험이자율 (US10Y)</t>
  </si>
  <si>
    <t>ERP (Damodaran 2026.1 implied)</t>
  </si>
  <si>
    <t>Cost of Equity</t>
  </si>
  <si>
    <r>
      <rPr>
        <b/>
        <sz val="12"/>
        <rFont val="Arial"/>
        <family val="2"/>
        <charset val="1"/>
      </rPr>
      <t>WACC (</t>
    </r>
    <r>
      <rPr>
        <b/>
        <sz val="12"/>
        <rFont val="Noto Sans CJK SC"/>
        <family val="2"/>
      </rPr>
      <t xml:space="preserve">무차입 → </t>
    </r>
    <r>
      <rPr>
        <b/>
        <sz val="12"/>
        <rFont val="Arial"/>
        <family val="2"/>
        <charset val="1"/>
      </rPr>
      <t>= Cost of Equity)</t>
    </r>
  </si>
  <si>
    <r>
      <rPr>
        <i/>
        <sz val="9"/>
        <color rgb="FFC0392B"/>
        <rFont val="Arial"/>
        <family val="2"/>
        <charset val="1"/>
      </rPr>
      <t>※ Beta/Tax/MktCap/Debt</t>
    </r>
    <r>
      <rPr>
        <i/>
        <sz val="9"/>
        <color rgb="FFC0392B"/>
        <rFont val="Noto Sans CJK SC"/>
        <family val="2"/>
      </rPr>
      <t xml:space="preserve">는 추정치 — </t>
    </r>
    <r>
      <rPr>
        <i/>
        <sz val="9"/>
        <color rgb="FFC0392B"/>
        <rFont val="Arial"/>
        <family val="2"/>
        <charset val="1"/>
      </rPr>
      <t xml:space="preserve">TIKR </t>
    </r>
    <r>
      <rPr>
        <i/>
        <sz val="9"/>
        <color rgb="FFC0392B"/>
        <rFont val="Noto Sans CJK SC"/>
        <family val="2"/>
      </rPr>
      <t>등으로 교체 권장</t>
    </r>
  </si>
  <si>
    <r>
      <rPr>
        <i/>
        <sz val="9"/>
        <color rgb="FF666666"/>
        <rFont val="Arial"/>
        <family val="2"/>
        <charset val="1"/>
      </rPr>
      <t xml:space="preserve">※ Damodaran ERP 4.23%, US10Y 4.5% (2026.5 </t>
    </r>
    <r>
      <rPr>
        <i/>
        <sz val="9"/>
        <color rgb="FF666666"/>
        <rFont val="Noto Sans CJK SC"/>
        <family val="2"/>
      </rPr>
      <t>기준</t>
    </r>
    <r>
      <rPr>
        <i/>
        <sz val="9"/>
        <color rgb="FF666666"/>
        <rFont val="Arial"/>
        <family val="2"/>
        <charset val="1"/>
      </rPr>
      <t>)</t>
    </r>
  </si>
  <si>
    <r>
      <rPr>
        <b/>
        <sz val="12"/>
        <color rgb="FFFFFFFF"/>
        <rFont val="Arial"/>
        <family val="2"/>
        <charset val="1"/>
      </rPr>
      <t xml:space="preserve">Veeva </t>
    </r>
    <r>
      <rPr>
        <b/>
        <sz val="12"/>
        <color rgb="FFFFFFFF"/>
        <rFont val="Noto Sans CJK SC"/>
        <family val="2"/>
      </rPr>
      <t>시나리오 분석</t>
    </r>
  </si>
  <si>
    <t>가정</t>
  </si>
  <si>
    <t>낙관</t>
  </si>
  <si>
    <t>Base</t>
  </si>
  <si>
    <t>합리적 비관</t>
  </si>
  <si>
    <t>진짜 베어</t>
  </si>
  <si>
    <r>
      <rPr>
        <sz val="10"/>
        <color rgb="FF000000"/>
        <rFont val="Arial"/>
        <family val="2"/>
        <charset val="1"/>
      </rPr>
      <t xml:space="preserve">Commercial </t>
    </r>
    <r>
      <rPr>
        <sz val="10"/>
        <color rgb="FF000000"/>
        <rFont val="Noto Sans CJK SC"/>
        <family val="2"/>
      </rPr>
      <t xml:space="preserve">침식 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연</t>
    </r>
    <r>
      <rPr>
        <sz val="10"/>
        <color rgb="FF000000"/>
        <rFont val="Arial"/>
        <family val="2"/>
        <charset val="1"/>
      </rPr>
      <t>%p)</t>
    </r>
  </si>
  <si>
    <r>
      <rPr>
        <sz val="10"/>
        <color rgb="FF000000"/>
        <rFont val="Arial"/>
        <family val="2"/>
        <charset val="1"/>
      </rPr>
      <t>R&amp;D 1</t>
    </r>
    <r>
      <rPr>
        <sz val="10"/>
        <color rgb="FF000000"/>
        <rFont val="Noto Sans CJK SC"/>
        <family val="2"/>
      </rPr>
      <t>년차 성장</t>
    </r>
  </si>
  <si>
    <r>
      <rPr>
        <sz val="10"/>
        <color rgb="FF000000"/>
        <rFont val="Arial"/>
        <family val="2"/>
        <charset val="1"/>
      </rPr>
      <t xml:space="preserve">R&amp;D </t>
    </r>
    <r>
      <rPr>
        <sz val="10"/>
        <color rgb="FF000000"/>
        <rFont val="Noto Sans CJK SC"/>
        <family val="2"/>
      </rPr>
      <t>후반 강도</t>
    </r>
  </si>
  <si>
    <r>
      <rPr>
        <sz val="10"/>
        <color rgb="FF000000"/>
        <rFont val="Arial"/>
        <family val="2"/>
        <charset val="1"/>
      </rPr>
      <t xml:space="preserve">R&amp;D </t>
    </r>
    <r>
      <rPr>
        <sz val="10"/>
        <color rgb="FF000000"/>
        <rFont val="Noto Sans CJK SC"/>
        <family val="2"/>
      </rPr>
      <t>상각기간</t>
    </r>
    <r>
      <rPr>
        <sz val="10"/>
        <color rgb="FF000000"/>
        <rFont val="Arial"/>
        <family val="2"/>
        <charset val="1"/>
      </rPr>
      <t>(</t>
    </r>
    <r>
      <rPr>
        <sz val="10"/>
        <color rgb="FF000000"/>
        <rFont val="Noto Sans CJK SC"/>
        <family val="2"/>
      </rPr>
      <t>년</t>
    </r>
    <r>
      <rPr>
        <sz val="10"/>
        <color rgb="FF000000"/>
        <rFont val="Arial"/>
        <family val="2"/>
        <charset val="1"/>
      </rPr>
      <t>)</t>
    </r>
  </si>
  <si>
    <t>Terminal growth</t>
  </si>
  <si>
    <t>마진 종착(5년)</t>
  </si>
  <si>
    <t>■ 결과</t>
  </si>
  <si>
    <r>
      <rPr>
        <sz val="10"/>
        <color rgb="FF000000"/>
        <rFont val="Arial"/>
        <family val="2"/>
        <charset val="1"/>
      </rPr>
      <t xml:space="preserve">FY31 </t>
    </r>
    <r>
      <rPr>
        <sz val="10"/>
        <color rgb="FF000000"/>
        <rFont val="Noto Sans CJK SC"/>
        <family val="2"/>
      </rPr>
      <t>매출</t>
    </r>
    <r>
      <rPr>
        <sz val="10"/>
        <color rgb="FF000000"/>
        <rFont val="Arial"/>
        <family val="2"/>
        <charset val="1"/>
      </rPr>
      <t>($B)</t>
    </r>
  </si>
  <si>
    <r>
      <rPr>
        <sz val="10"/>
        <color rgb="FF000000"/>
        <rFont val="Arial"/>
        <family val="2"/>
        <charset val="1"/>
      </rPr>
      <t xml:space="preserve">FY36 </t>
    </r>
    <r>
      <rPr>
        <sz val="10"/>
        <color rgb="FF000000"/>
        <rFont val="Noto Sans CJK SC"/>
        <family val="2"/>
      </rPr>
      <t>매출</t>
    </r>
    <r>
      <rPr>
        <sz val="10"/>
        <color rgb="FF000000"/>
        <rFont val="Arial"/>
        <family val="2"/>
        <charset val="1"/>
      </rPr>
      <t>($B)</t>
    </r>
  </si>
  <si>
    <t>주당 내재가치</t>
  </si>
  <si>
    <t>상승여력</t>
  </si>
  <si>
    <t>현재가 $163.85 (2026.5.18) 기준</t>
  </si>
  <si>
    <r>
      <rPr>
        <i/>
        <sz val="9"/>
        <color rgb="FFC0392B"/>
        <rFont val="Arial"/>
        <family val="2"/>
        <charset val="1"/>
      </rPr>
      <t>※ 4</t>
    </r>
    <r>
      <rPr>
        <i/>
        <sz val="9"/>
        <color rgb="FFC0392B"/>
        <rFont val="Noto Sans CJK SC"/>
        <family val="2"/>
      </rPr>
      <t>개 시나리오 모두 회사 존속 전제</t>
    </r>
    <r>
      <rPr>
        <i/>
        <sz val="9"/>
        <color rgb="FFC0392B"/>
        <rFont val="Arial"/>
        <family val="2"/>
        <charset val="1"/>
      </rPr>
      <t xml:space="preserve">. R&amp;D/Quality </t>
    </r>
    <r>
      <rPr>
        <i/>
        <sz val="9"/>
        <color rgb="FFC0392B"/>
        <rFont val="Noto Sans CJK SC"/>
        <family val="2"/>
      </rPr>
      <t>해자 붕괴</t>
    </r>
    <r>
      <rPr>
        <i/>
        <sz val="9"/>
        <color rgb="FFC0392B"/>
        <rFont val="Arial"/>
        <family val="2"/>
        <charset val="1"/>
      </rPr>
      <t>(Intuit</t>
    </r>
    <r>
      <rPr>
        <i/>
        <sz val="9"/>
        <color rgb="FFC0392B"/>
        <rFont val="Noto Sans CJK SC"/>
        <family val="2"/>
      </rPr>
      <t>식</t>
    </r>
    <r>
      <rPr>
        <i/>
        <sz val="9"/>
        <color rgb="FFC0392B"/>
        <rFont val="Arial"/>
        <family val="2"/>
        <charset val="1"/>
      </rPr>
      <t>)</t>
    </r>
    <r>
      <rPr>
        <i/>
        <sz val="9"/>
        <color rgb="FFC0392B"/>
        <rFont val="Noto Sans CJK SC"/>
        <family val="2"/>
      </rPr>
      <t>는 미반영</t>
    </r>
  </si>
  <si>
    <t>민감도: Commercial 침식 × R&amp;D 성장률 (주당 내재가치)</t>
  </si>
  <si>
    <t>침식↓ / R&amp;D강도→</t>
  </si>
  <si>
    <t>강 (1.3×)</t>
  </si>
  <si>
    <t>Base (1.0×)</t>
  </si>
  <si>
    <t>약 (0.7×)</t>
  </si>
  <si>
    <t>매우약 (0.5×)</t>
  </si>
  <si>
    <t>다른 변수 base 고정 (상각5년,WACC9%,terminal4.5%,마진37%)</t>
  </si>
  <si>
    <t>초록=현재가 위 / 노랑=$150-164 / 빨강=현재가 아래</t>
  </si>
  <si>
    <t>현재가 $163.85</t>
  </si>
  <si>
    <r>
      <rPr>
        <b/>
        <sz val="12"/>
        <color rgb="FFFFFFFF"/>
        <rFont val="Arial"/>
        <family val="2"/>
        <charset val="1"/>
      </rPr>
      <t xml:space="preserve">Veeva Pricing — </t>
    </r>
    <r>
      <rPr>
        <b/>
        <sz val="12"/>
        <color rgb="FFFFFFFF"/>
        <rFont val="Noto Sans CJK SC"/>
        <family val="2"/>
      </rPr>
      <t xml:space="preserve">회귀 </t>
    </r>
    <r>
      <rPr>
        <b/>
        <sz val="12"/>
        <color rgb="FFFFFFFF"/>
        <rFont val="Arial"/>
        <family val="2"/>
        <charset val="1"/>
      </rPr>
      <t xml:space="preserve">(GAAP PE vs 5Y GAAP EPS </t>
    </r>
    <r>
      <rPr>
        <b/>
        <sz val="12"/>
        <color rgb="FFFFFFFF"/>
        <rFont val="Noto Sans CJK SC"/>
        <family val="2"/>
      </rPr>
      <t>성장</t>
    </r>
    <r>
      <rPr>
        <b/>
        <sz val="12"/>
        <color rgb="FFFFFFFF"/>
        <rFont val="Arial"/>
        <family val="2"/>
        <charset val="1"/>
      </rPr>
      <t>)</t>
    </r>
  </si>
  <si>
    <t>성장=시장 컨센서스</t>
  </si>
  <si>
    <r>
      <rPr>
        <b/>
        <sz val="11"/>
        <color rgb="FFFFFFFF"/>
        <rFont val="Arial"/>
        <family val="2"/>
        <charset val="1"/>
      </rPr>
      <t xml:space="preserve">■ 1) Veeva </t>
    </r>
    <r>
      <rPr>
        <b/>
        <sz val="11"/>
        <color rgb="FFFFFFFF"/>
        <rFont val="Noto Sans CJK SC"/>
        <family val="2"/>
      </rPr>
      <t>자기 역사 밴드</t>
    </r>
  </si>
  <si>
    <t>현재 GAAP PE</t>
  </si>
  <si>
    <r>
      <rPr>
        <sz val="10"/>
        <color rgb="FF000000"/>
        <rFont val="Arial"/>
        <family val="2"/>
        <charset val="1"/>
      </rPr>
      <t>~30</t>
    </r>
    <r>
      <rPr>
        <sz val="10"/>
        <color rgb="FF000000"/>
        <rFont val="Noto Sans CJK SC"/>
        <family val="2"/>
      </rPr>
      <t>배</t>
    </r>
  </si>
  <si>
    <r>
      <rPr>
        <i/>
        <sz val="9"/>
        <color rgb="FF666666"/>
        <rFont val="Arial"/>
        <family val="2"/>
        <charset val="1"/>
      </rPr>
      <t>5</t>
    </r>
    <r>
      <rPr>
        <i/>
        <sz val="9"/>
        <color rgb="FF666666"/>
        <rFont val="Noto Sans CJK SC"/>
        <family val="2"/>
      </rPr>
      <t xml:space="preserve">년평균 </t>
    </r>
    <r>
      <rPr>
        <i/>
        <sz val="9"/>
        <color rgb="FF666666"/>
        <rFont val="Arial"/>
        <family val="2"/>
        <charset val="1"/>
      </rPr>
      <t>70</t>
    </r>
    <r>
      <rPr>
        <i/>
        <sz val="9"/>
        <color rgb="FF666666"/>
        <rFont val="Noto Sans CJK SC"/>
        <family val="2"/>
      </rPr>
      <t>배대</t>
    </r>
  </si>
  <si>
    <t>현재 Forward PE(Non-GAAP)</t>
  </si>
  <si>
    <r>
      <rPr>
        <sz val="10"/>
        <color rgb="FF000000"/>
        <rFont val="Arial"/>
        <family val="2"/>
        <charset val="1"/>
      </rPr>
      <t>18.5</t>
    </r>
    <r>
      <rPr>
        <sz val="10"/>
        <color rgb="FF000000"/>
        <rFont val="Noto Sans CJK SC"/>
        <family val="2"/>
      </rPr>
      <t>배</t>
    </r>
  </si>
  <si>
    <r>
      <rPr>
        <i/>
        <sz val="9"/>
        <color rgb="FF666666"/>
        <rFont val="Arial"/>
        <family val="2"/>
        <charset val="1"/>
      </rPr>
      <t>5</t>
    </r>
    <r>
      <rPr>
        <i/>
        <sz val="9"/>
        <color rgb="FF666666"/>
        <rFont val="Noto Sans CJK SC"/>
        <family val="2"/>
      </rPr>
      <t xml:space="preserve">년평균 </t>
    </r>
    <r>
      <rPr>
        <i/>
        <sz val="9"/>
        <color rgb="FF666666"/>
        <rFont val="Arial"/>
        <family val="2"/>
        <charset val="1"/>
      </rPr>
      <t>44</t>
    </r>
    <r>
      <rPr>
        <i/>
        <sz val="9"/>
        <color rgb="FF666666"/>
        <rFont val="Noto Sans CJK SC"/>
        <family val="2"/>
      </rPr>
      <t>배</t>
    </r>
  </si>
  <si>
    <t>EV/EBITDA</t>
  </si>
  <si>
    <r>
      <rPr>
        <sz val="10"/>
        <color rgb="FF000000"/>
        <rFont val="Arial"/>
        <family val="2"/>
        <charset val="1"/>
      </rPr>
      <t>22</t>
    </r>
    <r>
      <rPr>
        <sz val="10"/>
        <color rgb="FF000000"/>
        <rFont val="Noto Sans CJK SC"/>
        <family val="2"/>
      </rPr>
      <t>배</t>
    </r>
  </si>
  <si>
    <r>
      <rPr>
        <i/>
        <sz val="9"/>
        <color rgb="FF666666"/>
        <rFont val="Arial"/>
        <family val="2"/>
        <charset val="1"/>
      </rPr>
      <t>5</t>
    </r>
    <r>
      <rPr>
        <i/>
        <sz val="9"/>
        <color rgb="FF666666"/>
        <rFont val="Noto Sans CJK SC"/>
        <family val="2"/>
      </rPr>
      <t>년 최저</t>
    </r>
    <r>
      <rPr>
        <i/>
        <sz val="9"/>
        <color rgb="FF666666"/>
        <rFont val="Arial"/>
        <family val="2"/>
        <charset val="1"/>
      </rPr>
      <t>(</t>
    </r>
    <r>
      <rPr>
        <i/>
        <sz val="9"/>
        <color rgb="FF666666"/>
        <rFont val="Noto Sans CJK SC"/>
        <family val="2"/>
      </rPr>
      <t>평균</t>
    </r>
    <r>
      <rPr>
        <i/>
        <sz val="9"/>
        <color rgb="FF666666"/>
        <rFont val="Arial"/>
        <family val="2"/>
        <charset val="1"/>
      </rPr>
      <t>48)</t>
    </r>
  </si>
  <si>
    <r>
      <rPr>
        <b/>
        <sz val="11"/>
        <color rgb="FFFFFFFF"/>
        <rFont val="Arial"/>
        <family val="2"/>
        <charset val="1"/>
      </rPr>
      <t xml:space="preserve">■ 2) </t>
    </r>
    <r>
      <rPr>
        <b/>
        <sz val="11"/>
        <color rgb="FFFFFFFF"/>
        <rFont val="Noto Sans CJK SC"/>
        <family val="2"/>
      </rPr>
      <t xml:space="preserve">회귀 데이터 </t>
    </r>
    <r>
      <rPr>
        <b/>
        <sz val="11"/>
        <color rgb="FFFFFFFF"/>
        <rFont val="Arial"/>
        <family val="2"/>
        <charset val="1"/>
      </rPr>
      <t>(GAAP PE·</t>
    </r>
    <r>
      <rPr>
        <b/>
        <sz val="11"/>
        <color rgb="FFFFFFFF"/>
        <rFont val="Noto Sans CJK SC"/>
        <family val="2"/>
      </rPr>
      <t>현재</t>
    </r>
    <r>
      <rPr>
        <b/>
        <sz val="11"/>
        <color rgb="FFFFFFFF"/>
        <rFont val="Arial"/>
        <family val="2"/>
        <charset val="1"/>
      </rPr>
      <t>EPS·5Y</t>
    </r>
    <r>
      <rPr>
        <b/>
        <sz val="11"/>
        <color rgb="FFFFFFFF"/>
        <rFont val="Noto Sans CJK SC"/>
        <family val="2"/>
      </rPr>
      <t>후</t>
    </r>
    <r>
      <rPr>
        <b/>
        <sz val="11"/>
        <color rgb="FFFFFFFF"/>
        <rFont val="Arial"/>
        <family val="2"/>
        <charset val="1"/>
      </rPr>
      <t xml:space="preserve">EPS, </t>
    </r>
    <r>
      <rPr>
        <b/>
        <sz val="11"/>
        <color rgb="FFFFFFFF"/>
        <rFont val="Noto Sans CJK SC"/>
        <family val="2"/>
      </rPr>
      <t xml:space="preserve">전부 </t>
    </r>
    <r>
      <rPr>
        <b/>
        <sz val="11"/>
        <color rgb="FFFFFFFF"/>
        <rFont val="Arial"/>
        <family val="2"/>
        <charset val="1"/>
      </rPr>
      <t>TIKR)</t>
    </r>
  </si>
  <si>
    <t>회사</t>
  </si>
  <si>
    <t>군</t>
  </si>
  <si>
    <t>GAAP PE</t>
  </si>
  <si>
    <t>현재 EPS</t>
  </si>
  <si>
    <r>
      <rPr>
        <b/>
        <sz val="10"/>
        <rFont val="Arial"/>
        <family val="2"/>
        <charset val="1"/>
      </rPr>
      <t>5Y</t>
    </r>
    <r>
      <rPr>
        <b/>
        <sz val="10"/>
        <rFont val="Noto Sans CJK SC"/>
        <family val="2"/>
      </rPr>
      <t xml:space="preserve">후 </t>
    </r>
    <r>
      <rPr>
        <b/>
        <sz val="10"/>
        <rFont val="Arial"/>
        <family val="2"/>
        <charset val="1"/>
      </rPr>
      <t>EPS</t>
    </r>
  </si>
  <si>
    <t>5Y CAGR</t>
  </si>
  <si>
    <t>비교포함</t>
  </si>
  <si>
    <r>
      <rPr>
        <b/>
        <sz val="10"/>
        <rFont val="Arial"/>
        <family val="2"/>
      </rPr>
      <t>52</t>
    </r>
    <r>
      <rPr>
        <b/>
        <sz val="10"/>
        <rFont val="Noto Sans CJK SC"/>
        <family val="2"/>
      </rPr>
      <t>주고점比</t>
    </r>
  </si>
  <si>
    <t>Veeva</t>
  </si>
  <si>
    <t>★</t>
  </si>
  <si>
    <t>O</t>
  </si>
  <si>
    <t>S&amp;P Global</t>
  </si>
  <si>
    <t>1</t>
  </si>
  <si>
    <t>Moody's</t>
  </si>
  <si>
    <t>Verisk</t>
  </si>
  <si>
    <t>FactSet</t>
  </si>
  <si>
    <t>Fair Isaac (FICO)</t>
  </si>
  <si>
    <t>Gartner</t>
  </si>
  <si>
    <t>Equifax</t>
  </si>
  <si>
    <t>TransUnion</t>
  </si>
  <si>
    <t>CoStar</t>
  </si>
  <si>
    <t>제외</t>
  </si>
  <si>
    <t>Morningstar</t>
  </si>
  <si>
    <t>Tyler Tech</t>
  </si>
  <si>
    <t>2</t>
  </si>
  <si>
    <t>Roper</t>
  </si>
  <si>
    <t>Cadence</t>
  </si>
  <si>
    <t>Synopsys</t>
  </si>
  <si>
    <t>Ansys</t>
  </si>
  <si>
    <t>Guidewire</t>
  </si>
  <si>
    <t>Dayforce</t>
  </si>
  <si>
    <t>Salesforce</t>
  </si>
  <si>
    <t>3</t>
  </si>
  <si>
    <t>Adobe</t>
  </si>
  <si>
    <t>Autodesk</t>
  </si>
  <si>
    <t>Workday</t>
  </si>
  <si>
    <t>ServiceNow</t>
  </si>
  <si>
    <t>Intuit</t>
  </si>
  <si>
    <t>Atlassian</t>
  </si>
  <si>
    <t>HubSpot</t>
  </si>
  <si>
    <t>Datadog</t>
  </si>
  <si>
    <t>Snowflake</t>
  </si>
  <si>
    <r>
      <rPr>
        <b/>
        <sz val="11"/>
        <color rgb="FFFFFFFF"/>
        <rFont val="Arial"/>
        <family val="2"/>
      </rPr>
      <t xml:space="preserve">■ 3) </t>
    </r>
    <r>
      <rPr>
        <b/>
        <sz val="11"/>
        <color rgb="FFFFFFFF"/>
        <rFont val="Noto Sans CJK SC"/>
        <family val="2"/>
      </rPr>
      <t xml:space="preserve">성장 </t>
    </r>
    <r>
      <rPr>
        <b/>
        <sz val="11"/>
        <color rgb="FFFFFFFF"/>
        <rFont val="Arial"/>
        <family val="2"/>
      </rPr>
      <t xml:space="preserve">vs </t>
    </r>
    <r>
      <rPr>
        <b/>
        <sz val="11"/>
        <color rgb="FFFFFFFF"/>
        <rFont val="Noto Sans CJK SC"/>
        <family val="2"/>
      </rPr>
      <t xml:space="preserve">멀티플 — 단순 비교 </t>
    </r>
    <r>
      <rPr>
        <b/>
        <sz val="11"/>
        <color rgb="FFFFFFFF"/>
        <rFont val="Arial"/>
        <family val="2"/>
      </rPr>
      <t>(</t>
    </r>
    <r>
      <rPr>
        <b/>
        <sz val="11"/>
        <color rgb="FFFFFFFF"/>
        <rFont val="Noto Sans CJK SC"/>
        <family val="2"/>
      </rPr>
      <t>회귀 없이</t>
    </r>
    <r>
      <rPr>
        <b/>
        <sz val="11"/>
        <color rgb="FFFFFFFF"/>
        <rFont val="Arial"/>
        <family val="2"/>
      </rPr>
      <t>)</t>
    </r>
  </si>
  <si>
    <t>집단</t>
  </si>
  <si>
    <t>중앙값 PE</t>
  </si>
  <si>
    <t>중앙값 성장</t>
  </si>
  <si>
    <r>
      <rPr>
        <sz val="10"/>
        <color rgb="FF000000"/>
        <rFont val="Arial"/>
        <family val="2"/>
      </rPr>
      <t>1</t>
    </r>
    <r>
      <rPr>
        <sz val="10"/>
        <color rgb="FF000000"/>
        <rFont val="Noto Sans CJK SC"/>
        <family val="2"/>
      </rPr>
      <t>군 데이터 컴파운더</t>
    </r>
  </si>
  <si>
    <r>
      <rPr>
        <sz val="10"/>
        <color rgb="FF000000"/>
        <rFont val="Arial"/>
        <family val="2"/>
      </rPr>
      <t>1+2</t>
    </r>
    <r>
      <rPr>
        <sz val="10"/>
        <color rgb="FF000000"/>
        <rFont val="Noto Sans CJK SC"/>
        <family val="2"/>
      </rPr>
      <t xml:space="preserve">군 </t>
    </r>
    <r>
      <rPr>
        <sz val="10"/>
        <color rgb="FF000000"/>
        <rFont val="Arial"/>
        <family val="2"/>
      </rPr>
      <t>(</t>
    </r>
    <r>
      <rPr>
        <sz val="10"/>
        <color rgb="FF000000"/>
        <rFont val="Noto Sans CJK SC"/>
        <family val="2"/>
      </rPr>
      <t>컴파운더</t>
    </r>
    <r>
      <rPr>
        <sz val="10"/>
        <color rgb="FF000000"/>
        <rFont val="Arial"/>
        <family val="2"/>
      </rPr>
      <t>+</t>
    </r>
    <r>
      <rPr>
        <sz val="10"/>
        <color rgb="FF000000"/>
        <rFont val="Noto Sans CJK SC"/>
        <family val="2"/>
      </rPr>
      <t>버티컬</t>
    </r>
    <r>
      <rPr>
        <sz val="10"/>
        <color rgb="FF000000"/>
        <rFont val="Arial"/>
        <family val="2"/>
      </rPr>
      <t>)</t>
    </r>
  </si>
  <si>
    <t>전체 비교군</t>
  </si>
  <si>
    <r>
      <rPr>
        <b/>
        <sz val="10"/>
        <rFont val="Arial"/>
        <family val="2"/>
      </rPr>
      <t>Veeva PE vs 1</t>
    </r>
    <r>
      <rPr>
        <b/>
        <sz val="10"/>
        <rFont val="Noto Sans CJK SC"/>
        <family val="2"/>
      </rPr>
      <t>군 중앙값</t>
    </r>
  </si>
  <si>
    <r>
      <rPr>
        <sz val="10"/>
        <color rgb="FF000000"/>
        <rFont val="Noto Sans CJK SC"/>
        <family val="2"/>
      </rPr>
      <t xml:space="preserve">비교군 평균 </t>
    </r>
    <r>
      <rPr>
        <sz val="10"/>
        <color rgb="FF000000"/>
        <rFont val="Arial"/>
        <family val="2"/>
      </rPr>
      <t>52</t>
    </r>
    <r>
      <rPr>
        <sz val="10"/>
        <color rgb="FF000000"/>
        <rFont val="Noto Sans CJK SC"/>
        <family val="2"/>
      </rPr>
      <t xml:space="preserve">주 고점比 </t>
    </r>
    <r>
      <rPr>
        <sz val="10"/>
        <color rgb="FF000000"/>
        <rFont val="Arial"/>
        <family val="2"/>
      </rPr>
      <t>(</t>
    </r>
    <r>
      <rPr>
        <sz val="10"/>
        <color rgb="FF000000"/>
        <rFont val="Noto Sans CJK SC"/>
        <family val="2"/>
      </rPr>
      <t>참고</t>
    </r>
    <r>
      <rPr>
        <sz val="10"/>
        <color rgb="FF000000"/>
        <rFont val="Arial"/>
        <family val="2"/>
      </rPr>
      <t>)</t>
    </r>
  </si>
  <si>
    <t>← 집단 전체 디레이팅</t>
  </si>
  <si>
    <t>※ 이상치(EPS&lt;$1, PE·성장 폭발) 6개는 비교 제외 — 이익 초기라 PE 무의미.</t>
  </si>
  <si>
    <t>※ 회귀선은 긋지 않음 — 성장률만으로 PE 설명 안 됨(점들이 흩어짐).</t>
  </si>
  <si>
    <t>※ 핵심: Veeva 성장 13%(중상위)인데 PE는 비교군 중 최저권. 성장으로 설명 안 되는 디레이팅.</t>
  </si>
  <si>
    <t>※ 산점도: x=F열 성장, y=C열 PE, 점만 찍기(선 없이). Veeva가 좌하단(싼 구역).</t>
  </si>
  <si>
    <r>
      <rPr>
        <i/>
        <sz val="9"/>
        <color rgb="FF666666"/>
        <rFont val="Arial"/>
        <family val="2"/>
      </rPr>
      <t>※ valuation(FCFF DCF $197)</t>
    </r>
    <r>
      <rPr>
        <i/>
        <sz val="9"/>
        <color rgb="FF666666"/>
        <rFont val="Noto Sans CJK SC"/>
        <family val="2"/>
      </rPr>
      <t>과 독립</t>
    </r>
    <r>
      <rPr>
        <i/>
        <sz val="9"/>
        <color rgb="FF666666"/>
        <rFont val="Arial"/>
        <family val="2"/>
      </rPr>
      <t xml:space="preserve">. </t>
    </r>
    <r>
      <rPr>
        <i/>
        <sz val="9"/>
        <color rgb="FF666666"/>
        <rFont val="Noto Sans CJK SC"/>
        <family val="2"/>
      </rPr>
      <t>이건 시장의 상대 값매김</t>
    </r>
    <r>
      <rPr>
        <i/>
        <sz val="9"/>
        <color rgb="FF666666"/>
        <rFont val="Arial"/>
        <family val="2"/>
      </rPr>
      <t>.</t>
    </r>
  </si>
  <si>
    <r>
      <t xml:space="preserve">Terminal Value </t>
    </r>
    <r>
      <rPr>
        <sz val="10"/>
        <color rgb="FF000000"/>
        <rFont val="Noto Sans CJK SC"/>
        <family val="2"/>
      </rPr>
      <t>비중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</si>
</sst>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\$#,##0"/>
    <numFmt numFmtId="166" formatCode="#,##0.0"/>
    <numFmt numFmtId="167" formatCode="0.000"/>
    <numFmt numFmtId="168" formatCode="\$#,##0.00"/>
    <numFmt numFmtId="169" formatCode="0.00\x"/>
    <numFmt numFmtId="170" formatCode="\+0%;\-0%"/>
    <numFmt numFmtId="171" formatCode="0.0\배"/>
  </numFmts>
  <fonts count="44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3"/>
      <color rgb="FFFFFFFF"/>
      <name val="Arial"/>
      <family val="2"/>
      <charset val="1"/>
    </font>
    <font>
      <b/>
      <sz val="13"/>
      <color rgb="FFFFFFFF"/>
      <name val="Noto Sans CJK SC"/>
      <family val="2"/>
    </font>
    <font>
      <i/>
      <sz val="9"/>
      <name val="Noto Sans CJK SC"/>
      <family val="2"/>
      <charset val="1"/>
    </font>
    <font>
      <b/>
      <sz val="11"/>
      <color rgb="FFFFFFFF"/>
      <name val="Noto Sans CJK SC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Noto Sans CJK SC"/>
      <family val="2"/>
    </font>
    <font>
      <sz val="10"/>
      <color rgb="FF0000FF"/>
      <name val="Arial"/>
      <family val="2"/>
      <charset val="1"/>
    </font>
    <font>
      <sz val="10"/>
      <color rgb="FF008000"/>
      <name val="Arial"/>
      <family val="2"/>
      <charset val="1"/>
    </font>
    <font>
      <sz val="10"/>
      <color rgb="FF000000"/>
      <name val="Noto Sans CJK SC"/>
      <family val="2"/>
      <charset val="1"/>
    </font>
    <font>
      <b/>
      <sz val="11"/>
      <color rgb="FFFFFFFF"/>
      <name val="Arial"/>
      <family val="2"/>
      <charset val="1"/>
    </font>
    <font>
      <b/>
      <sz val="11"/>
      <color rgb="FFFFFFFF"/>
      <name val="Noto Sans CJK SC"/>
      <family val="2"/>
    </font>
    <font>
      <b/>
      <sz val="12"/>
      <color rgb="FFFFFFFF"/>
      <name val="Arial"/>
      <family val="2"/>
      <charset val="1"/>
    </font>
    <font>
      <b/>
      <sz val="12"/>
      <color rgb="FFFFFFFF"/>
      <name val="Noto Sans CJK SC"/>
      <family val="2"/>
    </font>
    <font>
      <b/>
      <sz val="10"/>
      <name val="Noto Sans CJK SC"/>
      <family val="2"/>
      <charset val="1"/>
    </font>
    <font>
      <b/>
      <sz val="10"/>
      <name val="Arial"/>
      <family val="2"/>
      <charset val="1"/>
    </font>
    <font>
      <b/>
      <sz val="10"/>
      <name val="Noto Sans CJK SC"/>
      <family val="2"/>
    </font>
    <font>
      <b/>
      <sz val="12"/>
      <name val="Noto Sans CJK SC"/>
      <family val="2"/>
      <charset val="1"/>
    </font>
    <font>
      <b/>
      <sz val="12"/>
      <color rgb="FF1B2A4A"/>
      <name val="Arial"/>
      <family val="2"/>
      <charset val="1"/>
    </font>
    <font>
      <i/>
      <sz val="9"/>
      <color rgb="FF666666"/>
      <name val="Noto Sans CJK SC"/>
      <family val="2"/>
      <charset val="1"/>
    </font>
    <font>
      <i/>
      <sz val="9"/>
      <color rgb="FF666666"/>
      <name val="Arial"/>
      <family val="2"/>
      <charset val="1"/>
    </font>
    <font>
      <i/>
      <sz val="8"/>
      <color rgb="FF999999"/>
      <name val="Arial"/>
      <family val="2"/>
      <charset val="1"/>
    </font>
    <font>
      <b/>
      <sz val="9"/>
      <color rgb="FF1B2A4A"/>
      <name val="Arial"/>
      <family val="2"/>
      <charset val="1"/>
    </font>
    <font>
      <b/>
      <sz val="9"/>
      <color rgb="FF1B2A4A"/>
      <name val="Noto Sans CJK SC"/>
      <family val="2"/>
    </font>
    <font>
      <sz val="9"/>
      <color rgb="FF666666"/>
      <name val="Noto Sans CJK SC"/>
      <family val="2"/>
      <charset val="1"/>
    </font>
    <font>
      <sz val="9"/>
      <color rgb="FF666666"/>
      <name val="Arial"/>
      <family val="2"/>
      <charset val="1"/>
    </font>
    <font>
      <sz val="9"/>
      <color rgb="FF666666"/>
      <name val="Noto Sans CJK SC"/>
      <family val="2"/>
    </font>
    <font>
      <b/>
      <sz val="9"/>
      <name val="Arial"/>
      <family val="2"/>
      <charset val="1"/>
    </font>
    <font>
      <sz val="10"/>
      <name val="Noto Sans CJK SC"/>
      <family val="2"/>
    </font>
    <font>
      <i/>
      <sz val="9"/>
      <color rgb="FF666666"/>
      <name val="Noto Sans CJK SC"/>
      <family val="2"/>
    </font>
    <font>
      <b/>
      <sz val="12"/>
      <name val="Arial"/>
      <family val="2"/>
      <charset val="1"/>
    </font>
    <font>
      <b/>
      <sz val="12"/>
      <name val="Noto Sans CJK SC"/>
      <family val="2"/>
    </font>
    <font>
      <i/>
      <sz val="9"/>
      <color rgb="FFC0392B"/>
      <name val="Arial"/>
      <family val="2"/>
      <charset val="1"/>
    </font>
    <font>
      <i/>
      <sz val="9"/>
      <color rgb="FFC0392B"/>
      <name val="Noto Sans CJK SC"/>
      <family val="2"/>
    </font>
    <font>
      <b/>
      <sz val="12"/>
      <color rgb="FFFFFFFF"/>
      <name val="Noto Sans CJK SC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CCCCCC"/>
      <name val="Arial"/>
      <family val="2"/>
    </font>
    <font>
      <sz val="10"/>
      <color rgb="FF0000FF"/>
      <name val="Arial"/>
      <family val="2"/>
    </font>
    <font>
      <sz val="10"/>
      <color rgb="FF999999"/>
      <name val="Arial"/>
      <family val="2"/>
    </font>
    <font>
      <sz val="10"/>
      <color rgb="FF999999"/>
      <name val="Noto Sans CJK SC"/>
      <family val="2"/>
      <charset val="1"/>
    </font>
    <font>
      <b/>
      <sz val="11"/>
      <color rgb="FFFFFFFF"/>
      <name val="Arial"/>
      <family val="2"/>
    </font>
    <font>
      <i/>
      <sz val="9"/>
      <color rgb="FF6666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FFF8E1"/>
        <bgColor rgb="FFFFF3C4"/>
      </patternFill>
    </fill>
    <fill>
      <patternFill patternType="solid">
        <fgColor rgb="FFE8F5E9"/>
        <bgColor rgb="FFFFF8E1"/>
      </patternFill>
    </fill>
    <fill>
      <patternFill patternType="solid">
        <fgColor rgb="FFD6DCE5"/>
        <bgColor rgb="FFD0D0D0"/>
      </patternFill>
    </fill>
    <fill>
      <patternFill patternType="solid">
        <fgColor rgb="FFC6EFCE"/>
        <bgColor rgb="FFD6DCE5"/>
      </patternFill>
    </fill>
    <fill>
      <patternFill patternType="solid">
        <fgColor rgb="FFFFC7CE"/>
        <bgColor rgb="FFD0D0D0"/>
      </patternFill>
    </fill>
    <fill>
      <patternFill patternType="solid">
        <fgColor rgb="FFFFF3C4"/>
        <bgColor rgb="FFFFF8E1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164" fontId="8" fillId="3" borderId="1" xfId="0" applyNumberFormat="1" applyFont="1" applyFill="1" applyBorder="1"/>
    <xf numFmtId="1" fontId="8" fillId="3" borderId="1" xfId="0" applyNumberFormat="1" applyFont="1" applyFill="1" applyBorder="1"/>
    <xf numFmtId="164" fontId="9" fillId="4" borderId="1" xfId="0" applyNumberFormat="1" applyFont="1" applyFill="1" applyBorder="1"/>
    <xf numFmtId="0" fontId="10" fillId="0" borderId="0" xfId="0" applyFont="1"/>
    <xf numFmtId="0" fontId="11" fillId="2" borderId="0" xfId="0" applyFont="1" applyFill="1"/>
    <xf numFmtId="165" fontId="8" fillId="3" borderId="1" xfId="0" applyNumberFormat="1" applyFont="1" applyFill="1" applyBorder="1"/>
    <xf numFmtId="166" fontId="8" fillId="3" borderId="1" xfId="0" applyNumberFormat="1" applyFont="1" applyFill="1" applyBorder="1"/>
    <xf numFmtId="0" fontId="13" fillId="2" borderId="0" xfId="0" applyFont="1" applyFill="1"/>
    <xf numFmtId="0" fontId="15" fillId="0" borderId="0" xfId="0" applyFont="1"/>
    <xf numFmtId="0" fontId="16" fillId="0" borderId="0" xfId="0" applyFont="1" applyAlignment="1">
      <alignment horizontal="center"/>
    </xf>
    <xf numFmtId="164" fontId="6" fillId="0" borderId="0" xfId="0" applyNumberFormat="1" applyFont="1"/>
    <xf numFmtId="165" fontId="9" fillId="0" borderId="0" xfId="0" applyNumberFormat="1" applyFont="1"/>
    <xf numFmtId="165" fontId="6" fillId="0" borderId="0" xfId="0" applyNumberFormat="1" applyFont="1"/>
    <xf numFmtId="165" fontId="16" fillId="4" borderId="0" xfId="0" applyNumberFormat="1" applyFont="1" applyFill="1"/>
    <xf numFmtId="9" fontId="6" fillId="0" borderId="0" xfId="0" applyNumberFormat="1" applyFont="1"/>
    <xf numFmtId="164" fontId="8" fillId="3" borderId="0" xfId="0" applyNumberFormat="1" applyFont="1" applyFill="1"/>
    <xf numFmtId="0" fontId="16" fillId="0" borderId="0" xfId="0" applyFont="1"/>
    <xf numFmtId="167" fontId="6" fillId="0" borderId="0" xfId="0" applyNumberFormat="1" applyFont="1"/>
    <xf numFmtId="166" fontId="9" fillId="0" borderId="0" xfId="0" applyNumberFormat="1" applyFont="1"/>
    <xf numFmtId="0" fontId="18" fillId="0" borderId="0" xfId="0" applyFont="1"/>
    <xf numFmtId="168" fontId="19" fillId="4" borderId="0" xfId="0" applyNumberFormat="1" applyFont="1" applyFill="1"/>
    <xf numFmtId="168" fontId="8" fillId="3" borderId="0" xfId="0" applyNumberFormat="1" applyFont="1" applyFill="1"/>
    <xf numFmtId="164" fontId="16" fillId="4" borderId="0" xfId="0" applyNumberFormat="1" applyFont="1" applyFill="1"/>
    <xf numFmtId="165" fontId="6" fillId="3" borderId="0" xfId="0" applyNumberFormat="1" applyFont="1" applyFill="1"/>
    <xf numFmtId="169" fontId="6" fillId="0" borderId="0" xfId="0" applyNumberFormat="1" applyFont="1"/>
    <xf numFmtId="0" fontId="20" fillId="0" borderId="0" xfId="0" applyFont="1"/>
    <xf numFmtId="165" fontId="21" fillId="0" borderId="0" xfId="0" applyNumberFormat="1" applyFont="1"/>
    <xf numFmtId="0" fontId="22" fillId="0" borderId="0" xfId="0" applyFont="1"/>
    <xf numFmtId="0" fontId="23" fillId="0" borderId="0" xfId="0" applyFont="1"/>
    <xf numFmtId="0" fontId="25" fillId="0" borderId="0" xfId="0" applyFont="1"/>
    <xf numFmtId="165" fontId="8" fillId="3" borderId="0" xfId="0" applyNumberFormat="1" applyFont="1" applyFill="1"/>
    <xf numFmtId="0" fontId="26" fillId="0" borderId="0" xfId="0" applyFont="1"/>
    <xf numFmtId="0" fontId="28" fillId="0" borderId="0" xfId="0" applyFont="1"/>
    <xf numFmtId="165" fontId="28" fillId="0" borderId="0" xfId="0" applyNumberFormat="1" applyFont="1"/>
    <xf numFmtId="0" fontId="16" fillId="5" borderId="0" xfId="0" applyFont="1" applyFill="1"/>
    <xf numFmtId="2" fontId="8" fillId="3" borderId="1" xfId="0" applyNumberFormat="1" applyFont="1" applyFill="1" applyBorder="1"/>
    <xf numFmtId="2" fontId="6" fillId="0" borderId="0" xfId="0" applyNumberFormat="1" applyFont="1"/>
    <xf numFmtId="0" fontId="21" fillId="0" borderId="0" xfId="0" applyFont="1"/>
    <xf numFmtId="2" fontId="21" fillId="0" borderId="0" xfId="0" applyNumberFormat="1" applyFont="1"/>
    <xf numFmtId="2" fontId="16" fillId="4" borderId="0" xfId="0" applyNumberFormat="1" applyFont="1" applyFill="1"/>
    <xf numFmtId="10" fontId="8" fillId="3" borderId="0" xfId="0" applyNumberFormat="1" applyFont="1" applyFill="1"/>
    <xf numFmtId="10" fontId="6" fillId="0" borderId="0" xfId="0" applyNumberFormat="1" applyFont="1"/>
    <xf numFmtId="0" fontId="31" fillId="0" borderId="0" xfId="0" applyFont="1"/>
    <xf numFmtId="10" fontId="19" fillId="4" borderId="0" xfId="0" applyNumberFormat="1" applyFont="1" applyFill="1"/>
    <xf numFmtId="0" fontId="33" fillId="0" borderId="0" xfId="0" applyFont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16" fillId="4" borderId="1" xfId="0" applyNumberFormat="1" applyFont="1" applyFill="1" applyBorder="1" applyAlignment="1">
      <alignment horizontal="center"/>
    </xf>
    <xf numFmtId="170" fontId="16" fillId="6" borderId="1" xfId="0" applyNumberFormat="1" applyFont="1" applyFill="1" applyBorder="1" applyAlignment="1">
      <alignment horizontal="center"/>
    </xf>
    <xf numFmtId="170" fontId="16" fillId="7" borderId="1" xfId="0" applyNumberFormat="1" applyFont="1" applyFill="1" applyBorder="1" applyAlignment="1">
      <alignment horizontal="center"/>
    </xf>
    <xf numFmtId="0" fontId="35" fillId="2" borderId="0" xfId="0" applyFont="1" applyFill="1"/>
    <xf numFmtId="0" fontId="15" fillId="0" borderId="0" xfId="0" applyFont="1" applyAlignment="1">
      <alignment horizontal="center"/>
    </xf>
    <xf numFmtId="164" fontId="15" fillId="5" borderId="0" xfId="0" applyNumberFormat="1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6" fillId="5" borderId="0" xfId="0" applyNumberFormat="1" applyFont="1" applyFill="1"/>
    <xf numFmtId="165" fontId="6" fillId="6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15" fillId="5" borderId="0" xfId="0" applyFont="1" applyFill="1"/>
    <xf numFmtId="0" fontId="36" fillId="5" borderId="0" xfId="0" applyFont="1" applyFill="1"/>
    <xf numFmtId="0" fontId="16" fillId="8" borderId="0" xfId="0" applyFont="1" applyFill="1"/>
    <xf numFmtId="0" fontId="6" fillId="8" borderId="0" xfId="0" applyFont="1" applyFill="1" applyAlignment="1">
      <alignment horizontal="center"/>
    </xf>
    <xf numFmtId="171" fontId="8" fillId="8" borderId="1" xfId="0" applyNumberFormat="1" applyFont="1" applyFill="1" applyBorder="1"/>
    <xf numFmtId="2" fontId="8" fillId="8" borderId="1" xfId="0" applyNumberFormat="1" applyFont="1" applyFill="1" applyBorder="1"/>
    <xf numFmtId="164" fontId="6" fillId="0" borderId="1" xfId="0" applyNumberFormat="1" applyFont="1" applyBorder="1"/>
    <xf numFmtId="0" fontId="37" fillId="0" borderId="0" xfId="0" applyFont="1" applyAlignment="1">
      <alignment horizontal="center"/>
    </xf>
    <xf numFmtId="171" fontId="38" fillId="0" borderId="0" xfId="0" applyNumberFormat="1" applyFont="1"/>
    <xf numFmtId="164" fontId="38" fillId="0" borderId="0" xfId="0" applyNumberFormat="1" applyFont="1"/>
    <xf numFmtId="9" fontId="39" fillId="3" borderId="1" xfId="0" applyNumberFormat="1" applyFont="1" applyFill="1" applyBorder="1"/>
    <xf numFmtId="0" fontId="6" fillId="0" borderId="0" xfId="0" applyFont="1" applyAlignment="1">
      <alignment horizontal="center"/>
    </xf>
    <xf numFmtId="171" fontId="8" fillId="3" borderId="1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/>
    </xf>
    <xf numFmtId="171" fontId="40" fillId="3" borderId="1" xfId="0" applyNumberFormat="1" applyFont="1" applyFill="1" applyBorder="1"/>
    <xf numFmtId="2" fontId="40" fillId="3" borderId="1" xfId="0" applyNumberFormat="1" applyFont="1" applyFill="1" applyBorder="1"/>
    <xf numFmtId="164" fontId="40" fillId="0" borderId="1" xfId="0" applyNumberFormat="1" applyFont="1" applyBorder="1"/>
    <xf numFmtId="0" fontId="41" fillId="0" borderId="0" xfId="0" applyFont="1" applyAlignment="1">
      <alignment horizontal="center"/>
    </xf>
    <xf numFmtId="0" fontId="38" fillId="0" borderId="0" xfId="0" applyFont="1"/>
    <xf numFmtId="9" fontId="40" fillId="3" borderId="1" xfId="0" applyNumberFormat="1" applyFont="1" applyFill="1" applyBorder="1"/>
    <xf numFmtId="0" fontId="42" fillId="2" borderId="0" xfId="0" applyFont="1" applyFill="1"/>
    <xf numFmtId="2" fontId="15" fillId="5" borderId="0" xfId="0" applyNumberFormat="1" applyFont="1" applyFill="1"/>
    <xf numFmtId="0" fontId="37" fillId="0" borderId="0" xfId="0" applyFont="1"/>
    <xf numFmtId="171" fontId="37" fillId="0" borderId="0" xfId="0" applyNumberFormat="1" applyFont="1"/>
    <xf numFmtId="164" fontId="37" fillId="0" borderId="0" xfId="0" applyNumberFormat="1" applyFont="1"/>
    <xf numFmtId="0" fontId="36" fillId="0" borderId="0" xfId="0" applyFont="1"/>
    <xf numFmtId="171" fontId="36" fillId="4" borderId="0" xfId="0" applyNumberFormat="1" applyFont="1" applyFill="1"/>
    <xf numFmtId="164" fontId="36" fillId="4" borderId="0" xfId="0" applyNumberFormat="1" applyFont="1" applyFill="1"/>
    <xf numFmtId="170" fontId="36" fillId="4" borderId="0" xfId="0" applyNumberFormat="1" applyFont="1" applyFill="1"/>
    <xf numFmtId="0" fontId="7" fillId="0" borderId="0" xfId="0" applyFont="1"/>
    <xf numFmtId="9" fontId="37" fillId="0" borderId="0" xfId="0" applyNumberFormat="1" applyFont="1"/>
    <xf numFmtId="0" fontId="34" fillId="0" borderId="0" xfId="0" applyFont="1"/>
    <xf numFmtId="171" fontId="6" fillId="0" borderId="0" xfId="0" applyNumberFormat="1" applyFont="1"/>
    <xf numFmtId="170" fontId="16" fillId="0" borderId="0" xfId="0" applyNumberFormat="1" applyFont="1"/>
    <xf numFmtId="0" fontId="4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3C4"/>
      <rgbColor rgb="FFD0D0D0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C0392B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zoomScale="150" zoomScaleNormal="150" workbookViewId="0">
      <selection activeCell="E33" sqref="E33"/>
    </sheetView>
  </sheetViews>
  <sheetFormatPr baseColWidth="10" defaultColWidth="8.6640625" defaultRowHeight="15"/>
  <cols>
    <col min="1" max="1" width="38" customWidth="1"/>
    <col min="2" max="12" width="11" customWidth="1"/>
  </cols>
  <sheetData>
    <row r="1" spans="1:12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3" t="s">
        <v>1</v>
      </c>
    </row>
    <row r="4" spans="1:12" ht="16.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 customHeight="1">
      <c r="A5" s="5" t="s">
        <v>3</v>
      </c>
      <c r="B5" s="6">
        <v>0.13500000000000001</v>
      </c>
    </row>
    <row r="6" spans="1:12" ht="15" customHeight="1">
      <c r="A6" s="5" t="s">
        <v>4</v>
      </c>
      <c r="B6" s="6">
        <v>0.03</v>
      </c>
    </row>
    <row r="7" spans="1:12" ht="15" customHeight="1">
      <c r="A7" s="5" t="s">
        <v>5</v>
      </c>
      <c r="B7" s="7">
        <v>5</v>
      </c>
    </row>
    <row r="8" spans="1:12" ht="15" customHeight="1">
      <c r="A8" s="5" t="s">
        <v>6</v>
      </c>
      <c r="B8" s="6">
        <v>4.4999999999999998E-2</v>
      </c>
    </row>
    <row r="9" spans="1:12" ht="15" customHeight="1">
      <c r="A9" s="5" t="s">
        <v>7</v>
      </c>
      <c r="B9" s="8">
        <f>Beta!$B$33</f>
        <v>8.9687598918016753E-2</v>
      </c>
    </row>
    <row r="10" spans="1:12" ht="15" customHeight="1">
      <c r="A10" s="9" t="s">
        <v>8</v>
      </c>
      <c r="B10" s="6">
        <v>0.18</v>
      </c>
    </row>
    <row r="12" spans="1:12" ht="16.5" customHeight="1">
      <c r="A12" s="10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" customHeight="1">
      <c r="A13" s="9" t="s">
        <v>10</v>
      </c>
      <c r="B13" s="11">
        <v>3195.3</v>
      </c>
    </row>
    <row r="14" spans="1:12" ht="15" customHeight="1">
      <c r="A14" s="9" t="s">
        <v>11</v>
      </c>
      <c r="B14" s="11">
        <v>2684.2</v>
      </c>
    </row>
    <row r="15" spans="1:12" ht="15" customHeight="1">
      <c r="A15" s="9" t="s">
        <v>12</v>
      </c>
      <c r="B15" s="11">
        <v>511.1</v>
      </c>
    </row>
    <row r="16" spans="1:12" ht="15" customHeight="1">
      <c r="A16" s="5" t="s">
        <v>13</v>
      </c>
      <c r="B16" s="6">
        <v>0.53</v>
      </c>
    </row>
    <row r="17" spans="1:12" ht="15" customHeight="1">
      <c r="A17" s="5" t="s">
        <v>14</v>
      </c>
      <c r="B17" s="6">
        <v>0.47</v>
      </c>
    </row>
    <row r="18" spans="1:12" ht="15" customHeight="1">
      <c r="A18" s="5" t="s">
        <v>15</v>
      </c>
      <c r="B18" s="6">
        <v>0.6</v>
      </c>
    </row>
    <row r="19" spans="1:12" ht="15" customHeight="1">
      <c r="A19" s="5" t="s">
        <v>16</v>
      </c>
      <c r="B19" s="6">
        <v>0.4</v>
      </c>
    </row>
    <row r="20" spans="1:12" ht="15" customHeight="1">
      <c r="A20" s="5" t="s">
        <v>17</v>
      </c>
      <c r="B20" s="11">
        <v>916.4</v>
      </c>
    </row>
    <row r="21" spans="1:12" ht="15" customHeight="1">
      <c r="A21" s="5" t="s">
        <v>18</v>
      </c>
      <c r="B21" s="11">
        <v>767.4</v>
      </c>
    </row>
    <row r="22" spans="1:12" ht="15" customHeight="1">
      <c r="A22" s="9" t="s">
        <v>19</v>
      </c>
      <c r="B22" s="11">
        <v>6460</v>
      </c>
    </row>
    <row r="23" spans="1:12" ht="15" customHeight="1">
      <c r="A23" s="9" t="s">
        <v>20</v>
      </c>
      <c r="B23" s="12">
        <v>167.1</v>
      </c>
    </row>
    <row r="25" spans="1:12" ht="16.5" customHeight="1">
      <c r="A25" s="4" t="s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" customHeight="1">
      <c r="A26" s="9" t="s">
        <v>22</v>
      </c>
      <c r="B26" s="6">
        <v>0.06</v>
      </c>
    </row>
    <row r="27" spans="1:12" ht="15" customHeight="1">
      <c r="A27" s="5" t="s">
        <v>23</v>
      </c>
      <c r="B27" s="6">
        <v>0.05</v>
      </c>
    </row>
    <row r="28" spans="1:12" ht="15" customHeight="1">
      <c r="A28" s="5" t="s">
        <v>24</v>
      </c>
      <c r="B28" s="6">
        <v>0.09</v>
      </c>
    </row>
    <row r="29" spans="1:12" ht="15" customHeight="1">
      <c r="A29" s="9" t="s">
        <v>25</v>
      </c>
      <c r="B29" s="6">
        <v>0.08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P33" sqref="P33"/>
    </sheetView>
  </sheetViews>
  <sheetFormatPr baseColWidth="10" defaultColWidth="8.6640625" defaultRowHeight="15"/>
  <cols>
    <col min="1" max="1" width="30" customWidth="1"/>
    <col min="2" max="13" width="10" customWidth="1"/>
  </cols>
  <sheetData>
    <row r="1" spans="1:13" ht="18.75" customHeight="1">
      <c r="A1" s="13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3" ht="15" customHeight="1">
      <c r="A3" s="14" t="s">
        <v>27</v>
      </c>
      <c r="B3" s="15" t="s">
        <v>28</v>
      </c>
      <c r="C3" s="15" t="s">
        <v>29</v>
      </c>
      <c r="D3" s="15" t="s">
        <v>30</v>
      </c>
      <c r="E3" s="15" t="s">
        <v>31</v>
      </c>
      <c r="F3" s="15" t="s">
        <v>32</v>
      </c>
      <c r="G3" s="15" t="s">
        <v>33</v>
      </c>
      <c r="H3" s="15" t="s">
        <v>34</v>
      </c>
      <c r="I3" s="15" t="s">
        <v>35</v>
      </c>
      <c r="J3" s="15" t="s">
        <v>36</v>
      </c>
      <c r="K3" s="15" t="s">
        <v>37</v>
      </c>
      <c r="L3" s="15" t="s">
        <v>38</v>
      </c>
    </row>
    <row r="5" spans="1:13" ht="15" customHeight="1">
      <c r="A5" s="5" t="s">
        <v>39</v>
      </c>
      <c r="B5" s="16">
        <v>0.8</v>
      </c>
      <c r="C5" s="16">
        <v>0.77</v>
      </c>
      <c r="D5" s="16">
        <v>0.74</v>
      </c>
      <c r="E5" s="16">
        <v>0.71</v>
      </c>
      <c r="F5" s="16">
        <v>0.68</v>
      </c>
      <c r="G5" s="16">
        <v>0.65</v>
      </c>
      <c r="H5" s="16">
        <v>0.64</v>
      </c>
      <c r="I5" s="16">
        <v>0.63500000000000001</v>
      </c>
      <c r="J5" s="16">
        <v>0.63</v>
      </c>
      <c r="K5" s="16">
        <v>0.63</v>
      </c>
      <c r="L5" s="16">
        <v>0.63</v>
      </c>
    </row>
    <row r="6" spans="1:13" ht="15" customHeight="1">
      <c r="A6" s="5" t="s">
        <v>40</v>
      </c>
      <c r="B6" s="17">
        <f>Assumptions!$B$14*Assumptions!$B$16</f>
        <v>1422.626</v>
      </c>
      <c r="C6" s="18">
        <f>B6*(1+Assumptions!$B$5)</f>
        <v>1614.6805099999999</v>
      </c>
      <c r="D6" s="18">
        <f>C6*(1+0.13)</f>
        <v>1824.5889762999998</v>
      </c>
      <c r="E6" s="18">
        <f>D6*(1+0.125)</f>
        <v>2052.6625983374997</v>
      </c>
      <c r="F6" s="18">
        <f>E6*(1+0.12)</f>
        <v>2298.9821101379998</v>
      </c>
      <c r="G6" s="18">
        <f>F6*(1+0.115)</f>
        <v>2563.3650528038697</v>
      </c>
      <c r="H6" s="18">
        <f>G6*(1+0.1)</f>
        <v>2819.7015580842572</v>
      </c>
      <c r="I6" s="18">
        <f>H6*(1+0.095)</f>
        <v>3087.5732061022613</v>
      </c>
      <c r="J6" s="18">
        <f>I6*(1+0.085)</f>
        <v>3350.0169286209534</v>
      </c>
      <c r="K6" s="18">
        <f>J6*(1+0.065)</f>
        <v>3567.7680289813152</v>
      </c>
      <c r="L6" s="18">
        <f>K6*(1+0.05)</f>
        <v>3746.1564304303811</v>
      </c>
    </row>
    <row r="7" spans="1:13" ht="15" customHeight="1">
      <c r="A7" s="5" t="s">
        <v>41</v>
      </c>
      <c r="B7" s="17">
        <f>Assumptions!$B$14*Assumptions!$B$17*Assumptions!$B$18</f>
        <v>756.94439999999986</v>
      </c>
      <c r="C7" s="18">
        <f>B7*(1+Assumptions!$B$26)*(C5/B5)</f>
        <v>772.27252409999994</v>
      </c>
      <c r="D7" s="18">
        <f>C7*(1+Assumptions!$B$26)*(D5/C5)</f>
        <v>786.71502325200004</v>
      </c>
      <c r="E7" s="18">
        <f>D7*(1+Assumptions!$B$26)*(E5/D5)</f>
        <v>800.11044121548014</v>
      </c>
      <c r="F7" s="18">
        <f>E7*(1+Assumptions!$B$26)*(F5/E5)</f>
        <v>812.28113525087065</v>
      </c>
      <c r="G7" s="18">
        <f>F7*(1+Assumptions!$B$26)*(G5/F5)</f>
        <v>823.03191498213221</v>
      </c>
      <c r="H7" s="18">
        <f>G7*(1+Assumptions!$B$27)*(H5/G5)</f>
        <v>850.88837979691198</v>
      </c>
      <c r="I7" s="18">
        <f>H7*(1+Assumptions!$B$27)*(I5/H5)</f>
        <v>886.4528550462361</v>
      </c>
      <c r="J7" s="18">
        <f>I7*(1+Assumptions!$B$27)*(J5/I5)</f>
        <v>923.44655687100033</v>
      </c>
      <c r="K7" s="18">
        <f>J7*(1+Assumptions!$B$27)*(K5/J5)</f>
        <v>969.6188847145504</v>
      </c>
      <c r="L7" s="18">
        <f>K7*(1+Assumptions!$B$27)*(L5/K5)</f>
        <v>1018.0998289502779</v>
      </c>
    </row>
    <row r="8" spans="1:13" ht="15" customHeight="1">
      <c r="A8" s="5" t="s">
        <v>42</v>
      </c>
      <c r="B8" s="17">
        <f>Assumptions!$B$14*Assumptions!$B$17*Assumptions!$B$19</f>
        <v>504.62959999999998</v>
      </c>
      <c r="C8" s="18">
        <f>B8*(1+0.09)</f>
        <v>550.04626400000006</v>
      </c>
      <c r="D8" s="18">
        <f>C8*(1+0.09)</f>
        <v>599.55042776000016</v>
      </c>
      <c r="E8" s="18">
        <f>D8*(1+0.085)</f>
        <v>650.51221411960012</v>
      </c>
      <c r="F8" s="18">
        <f>E8*(1+0.08)</f>
        <v>702.55319124916821</v>
      </c>
      <c r="G8" s="18">
        <f>F8*(1+0.08)</f>
        <v>758.7574465491017</v>
      </c>
      <c r="H8" s="18">
        <f>G8*(1+0.075)</f>
        <v>815.66425504028427</v>
      </c>
      <c r="I8" s="18">
        <f>H8*(1+0.07)</f>
        <v>872.76075289310427</v>
      </c>
      <c r="J8" s="18">
        <f>I8*(1+0.06)</f>
        <v>925.12639806669063</v>
      </c>
      <c r="K8" s="18">
        <f>J8*(1+0.055)</f>
        <v>976.0083499603586</v>
      </c>
      <c r="L8" s="18">
        <f>K8*(1+0.05)</f>
        <v>1024.8087674583767</v>
      </c>
    </row>
    <row r="9" spans="1:13" ht="15" customHeight="1">
      <c r="A9" s="9" t="s">
        <v>43</v>
      </c>
      <c r="B9" s="17">
        <f>Assumptions!$B$15</f>
        <v>511.1</v>
      </c>
      <c r="C9" s="18">
        <f>B9*(1+0.08)</f>
        <v>551.98800000000006</v>
      </c>
      <c r="D9" s="18">
        <f>C9*(1+0.07)</f>
        <v>590.62716000000012</v>
      </c>
      <c r="E9" s="18">
        <f>D9*(1+0.07)</f>
        <v>631.97106120000012</v>
      </c>
      <c r="F9" s="18">
        <f>E9*(1+0.06)</f>
        <v>669.8893248720002</v>
      </c>
      <c r="G9" s="18">
        <f>F9*(1+0.06)</f>
        <v>710.08268436432024</v>
      </c>
      <c r="H9" s="18">
        <f>G9*(1+0.055)</f>
        <v>749.13723200435777</v>
      </c>
      <c r="I9" s="18">
        <f>H9*(1+0.05)</f>
        <v>786.59409360457573</v>
      </c>
      <c r="J9" s="18">
        <f>I9*(1+0.05)</f>
        <v>825.92379828480455</v>
      </c>
      <c r="K9" s="18">
        <f>J9*(1+0.045)</f>
        <v>863.09036920762071</v>
      </c>
      <c r="L9" s="18">
        <f>K9*(1+0.045)</f>
        <v>901.92943582196358</v>
      </c>
    </row>
    <row r="10" spans="1:13" ht="15" customHeight="1">
      <c r="A10" s="14" t="s">
        <v>10</v>
      </c>
      <c r="B10" s="19">
        <f t="shared" ref="B10:L10" si="0">SUM(B6:B9)</f>
        <v>3195.2999999999997</v>
      </c>
      <c r="C10" s="19">
        <f t="shared" si="0"/>
        <v>3488.9872980999999</v>
      </c>
      <c r="D10" s="19">
        <f t="shared" si="0"/>
        <v>3801.4815873120001</v>
      </c>
      <c r="E10" s="19">
        <f t="shared" si="0"/>
        <v>4135.2563148725803</v>
      </c>
      <c r="F10" s="19">
        <f t="shared" si="0"/>
        <v>4483.7057615100393</v>
      </c>
      <c r="G10" s="19">
        <f t="shared" si="0"/>
        <v>4855.2370986994238</v>
      </c>
      <c r="H10" s="19">
        <f t="shared" si="0"/>
        <v>5235.3914249258105</v>
      </c>
      <c r="I10" s="19">
        <f t="shared" si="0"/>
        <v>5633.3809076461766</v>
      </c>
      <c r="J10" s="19">
        <f t="shared" si="0"/>
        <v>6024.5136818434494</v>
      </c>
      <c r="K10" s="19">
        <f t="shared" si="0"/>
        <v>6376.4856328638452</v>
      </c>
      <c r="L10" s="19">
        <f t="shared" si="0"/>
        <v>6690.9944626609995</v>
      </c>
    </row>
    <row r="11" spans="1:13" ht="15" customHeight="1">
      <c r="A11" s="9" t="s">
        <v>44</v>
      </c>
      <c r="C11" s="16">
        <f t="shared" ref="C11:L11" si="1">C10/B10-1</f>
        <v>9.1912276812818883E-2</v>
      </c>
      <c r="D11" s="16">
        <f t="shared" si="1"/>
        <v>8.9565900507054153E-2</v>
      </c>
      <c r="E11" s="16">
        <f t="shared" si="1"/>
        <v>8.780122168014759E-2</v>
      </c>
      <c r="F11" s="16">
        <f t="shared" si="1"/>
        <v>8.4263083133262917E-2</v>
      </c>
      <c r="G11" s="16">
        <f t="shared" si="1"/>
        <v>8.2862559889357756E-2</v>
      </c>
      <c r="H11" s="16">
        <f t="shared" si="1"/>
        <v>7.829778824358935E-2</v>
      </c>
      <c r="I11" s="16">
        <f t="shared" si="1"/>
        <v>7.601905004189935E-2</v>
      </c>
      <c r="J11" s="16">
        <f t="shared" si="1"/>
        <v>6.9431267050731327E-2</v>
      </c>
      <c r="K11" s="16">
        <f t="shared" si="1"/>
        <v>5.8423296818324255E-2</v>
      </c>
      <c r="L11" s="16">
        <f t="shared" si="1"/>
        <v>4.9323224093253515E-2</v>
      </c>
    </row>
    <row r="13" spans="1:13" ht="15" customHeight="1">
      <c r="A13" s="9" t="s">
        <v>45</v>
      </c>
      <c r="B13" s="20">
        <f>G10/6000</f>
        <v>0.80920618311657067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zoomScale="150" zoomScaleNormal="150" workbookViewId="0">
      <selection activeCell="B51" sqref="B51"/>
    </sheetView>
  </sheetViews>
  <sheetFormatPr baseColWidth="10" defaultColWidth="8.6640625" defaultRowHeight="15"/>
  <cols>
    <col min="1" max="1" width="32" customWidth="1"/>
    <col min="2" max="13" width="10" customWidth="1"/>
  </cols>
  <sheetData>
    <row r="1" spans="1:13" ht="18.75" customHeight="1">
      <c r="A1" s="1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3" ht="15" customHeight="1">
      <c r="A3" s="14" t="s">
        <v>27</v>
      </c>
      <c r="B3" s="15" t="s">
        <v>28</v>
      </c>
      <c r="C3" s="15" t="s">
        <v>29</v>
      </c>
      <c r="D3" s="15" t="s">
        <v>30</v>
      </c>
      <c r="E3" s="15" t="s">
        <v>31</v>
      </c>
      <c r="F3" s="15" t="s">
        <v>32</v>
      </c>
      <c r="G3" s="15" t="s">
        <v>33</v>
      </c>
      <c r="H3" s="15" t="s">
        <v>34</v>
      </c>
      <c r="I3" s="15" t="s">
        <v>35</v>
      </c>
      <c r="J3" s="15" t="s">
        <v>36</v>
      </c>
      <c r="K3" s="15" t="s">
        <v>37</v>
      </c>
      <c r="L3" s="15" t="s">
        <v>38</v>
      </c>
    </row>
    <row r="5" spans="1:13" ht="15" customHeight="1">
      <c r="A5" s="9" t="s">
        <v>10</v>
      </c>
      <c r="B5" s="17">
        <f>SOTP_Revenue!B10</f>
        <v>3195.2999999999997</v>
      </c>
      <c r="C5" s="17">
        <f>SOTP_Revenue!C10</f>
        <v>3488.9872980999999</v>
      </c>
      <c r="D5" s="17">
        <f>SOTP_Revenue!D10</f>
        <v>3801.4815873120001</v>
      </c>
      <c r="E5" s="17">
        <f>SOTP_Revenue!E10</f>
        <v>4135.2563148725803</v>
      </c>
      <c r="F5" s="17">
        <f>SOTP_Revenue!F10</f>
        <v>4483.7057615100393</v>
      </c>
      <c r="G5" s="17">
        <f>SOTP_Revenue!G10</f>
        <v>4855.2370986994238</v>
      </c>
      <c r="H5" s="17">
        <f>SOTP_Revenue!H10</f>
        <v>5235.3914249258105</v>
      </c>
      <c r="I5" s="17">
        <f>SOTP_Revenue!I10</f>
        <v>5633.3809076461766</v>
      </c>
      <c r="J5" s="17">
        <f>SOTP_Revenue!J10</f>
        <v>6024.5136818434494</v>
      </c>
      <c r="K5" s="17">
        <f>SOTP_Revenue!K10</f>
        <v>6376.4856328638452</v>
      </c>
      <c r="L5" s="17">
        <f>SOTP_Revenue!L10</f>
        <v>6690.9944626609995</v>
      </c>
    </row>
    <row r="6" spans="1:13" ht="15" customHeight="1">
      <c r="A6" s="9" t="s">
        <v>47</v>
      </c>
      <c r="B6" s="21">
        <v>0.34</v>
      </c>
      <c r="C6" s="21">
        <v>0.34499999999999997</v>
      </c>
      <c r="D6" s="21">
        <v>0.35</v>
      </c>
      <c r="E6" s="21">
        <v>0.35499999999999998</v>
      </c>
      <c r="F6" s="21">
        <v>0.36</v>
      </c>
      <c r="G6" s="21">
        <v>0.36499999999999999</v>
      </c>
      <c r="H6" s="21">
        <v>0.36699999999999999</v>
      </c>
      <c r="I6" s="21">
        <v>0.36899999999999999</v>
      </c>
      <c r="J6" s="21">
        <v>0.37</v>
      </c>
      <c r="K6" s="21">
        <v>0.37</v>
      </c>
      <c r="L6" s="21">
        <v>0.37</v>
      </c>
    </row>
    <row r="7" spans="1:13" ht="15" customHeight="1">
      <c r="A7" s="9" t="s">
        <v>48</v>
      </c>
      <c r="B7" s="18">
        <f t="shared" ref="B7:L7" si="0">B5*B6</f>
        <v>1086.402</v>
      </c>
      <c r="C7" s="18">
        <f t="shared" si="0"/>
        <v>1203.7006178444999</v>
      </c>
      <c r="D7" s="18">
        <f t="shared" si="0"/>
        <v>1330.5185555592</v>
      </c>
      <c r="E7" s="18">
        <f t="shared" si="0"/>
        <v>1468.015991779766</v>
      </c>
      <c r="F7" s="18">
        <f t="shared" si="0"/>
        <v>1614.134074143614</v>
      </c>
      <c r="G7" s="18">
        <f t="shared" si="0"/>
        <v>1772.1615410252896</v>
      </c>
      <c r="H7" s="18">
        <f t="shared" si="0"/>
        <v>1921.3886529477725</v>
      </c>
      <c r="I7" s="18">
        <f t="shared" si="0"/>
        <v>2078.7175549214389</v>
      </c>
      <c r="J7" s="18">
        <f t="shared" si="0"/>
        <v>2229.0700622820764</v>
      </c>
      <c r="K7" s="18">
        <f t="shared" si="0"/>
        <v>2359.2996841596228</v>
      </c>
      <c r="L7" s="18">
        <f t="shared" si="0"/>
        <v>2475.6679511845696</v>
      </c>
    </row>
    <row r="8" spans="1:13" ht="15" customHeight="1">
      <c r="A8" s="9" t="s">
        <v>49</v>
      </c>
      <c r="B8" s="18">
        <f>B7*(1-Assumptions!$B$10)</f>
        <v>890.84964000000014</v>
      </c>
      <c r="C8" s="18">
        <f>C7*(1-Assumptions!$B$10)</f>
        <v>987.03450663248998</v>
      </c>
      <c r="D8" s="18">
        <f>D7*(1-Assumptions!$B$10)</f>
        <v>1091.025215558544</v>
      </c>
      <c r="E8" s="18">
        <f>E7*(1-Assumptions!$B$10)</f>
        <v>1203.7731132594081</v>
      </c>
      <c r="F8" s="18">
        <f>F7*(1-Assumptions!$B$10)</f>
        <v>1323.5899407977636</v>
      </c>
      <c r="G8" s="18">
        <f>G7*(1-Assumptions!$B$10)</f>
        <v>1453.1724636407375</v>
      </c>
      <c r="H8" s="18">
        <f>H7*(1-Assumptions!$B$10)</f>
        <v>1575.5386954171736</v>
      </c>
      <c r="I8" s="18">
        <f>I7*(1-Assumptions!$B$10)</f>
        <v>1704.5483950355801</v>
      </c>
      <c r="J8" s="18">
        <f>J7*(1-Assumptions!$B$10)</f>
        <v>1827.8374510713027</v>
      </c>
      <c r="K8" s="18">
        <f>K7*(1-Assumptions!$B$10)</f>
        <v>1934.6257410108908</v>
      </c>
      <c r="L8" s="18">
        <f>L7*(1-Assumptions!$B$10)</f>
        <v>2030.0477199713473</v>
      </c>
    </row>
    <row r="9" spans="1:13" ht="15" customHeight="1">
      <c r="A9" s="9" t="s">
        <v>50</v>
      </c>
      <c r="B9" s="18">
        <f t="shared" ref="B9:L9" si="1">B34+B35+B33</f>
        <v>200.63059999999999</v>
      </c>
      <c r="C9" s="18">
        <f t="shared" si="1"/>
        <v>174.89883098579992</v>
      </c>
      <c r="D9" s="18">
        <f t="shared" si="1"/>
        <v>161.96051071206821</v>
      </c>
      <c r="E9" s="18">
        <f t="shared" si="1"/>
        <v>161.52923834994996</v>
      </c>
      <c r="F9" s="18">
        <f t="shared" si="1"/>
        <v>162.62677037729844</v>
      </c>
      <c r="G9" s="18">
        <f t="shared" si="1"/>
        <v>168.86363500432302</v>
      </c>
      <c r="H9" s="18">
        <f t="shared" si="1"/>
        <v>172.48982422518671</v>
      </c>
      <c r="I9" s="18">
        <f t="shared" si="1"/>
        <v>176.13684481817504</v>
      </c>
      <c r="J9" s="18">
        <f t="shared" si="1"/>
        <v>175.07667558643763</v>
      </c>
      <c r="K9" s="18">
        <f t="shared" si="1"/>
        <v>180.22882001648907</v>
      </c>
      <c r="L9" s="18">
        <f t="shared" si="1"/>
        <v>178.00361757227427</v>
      </c>
    </row>
    <row r="10" spans="1:13" ht="15" customHeight="1">
      <c r="A10" s="22" t="s">
        <v>51</v>
      </c>
      <c r="B10" s="19">
        <f t="shared" ref="B10:L10" si="2">B8-B9</f>
        <v>690.21904000000018</v>
      </c>
      <c r="C10" s="19">
        <f t="shared" si="2"/>
        <v>812.13567564669006</v>
      </c>
      <c r="D10" s="19">
        <f t="shared" si="2"/>
        <v>929.06470484647582</v>
      </c>
      <c r="E10" s="19">
        <f t="shared" si="2"/>
        <v>1042.2438749094581</v>
      </c>
      <c r="F10" s="19">
        <f t="shared" si="2"/>
        <v>1160.9631704204651</v>
      </c>
      <c r="G10" s="19">
        <f t="shared" si="2"/>
        <v>1284.3088286364145</v>
      </c>
      <c r="H10" s="19">
        <f t="shared" si="2"/>
        <v>1403.0488711919868</v>
      </c>
      <c r="I10" s="19">
        <f t="shared" si="2"/>
        <v>1528.4115502174052</v>
      </c>
      <c r="J10" s="19">
        <f t="shared" si="2"/>
        <v>1652.760775484865</v>
      </c>
      <c r="K10" s="19">
        <f t="shared" si="2"/>
        <v>1754.3969209944016</v>
      </c>
      <c r="L10" s="19">
        <f t="shared" si="2"/>
        <v>1852.0441023990729</v>
      </c>
    </row>
    <row r="11" spans="1:13" ht="15" customHeight="1">
      <c r="A11" s="9" t="s">
        <v>52</v>
      </c>
      <c r="B11" s="23">
        <v>1</v>
      </c>
      <c r="C11" s="23">
        <f>1/(1+Assumptions!$B$9)^1</f>
        <v>0.91769420978354688</v>
      </c>
      <c r="D11" s="23">
        <f>1/(1+Assumptions!$B$9)^2</f>
        <v>0.84216266267024853</v>
      </c>
      <c r="E11" s="23">
        <f>1/(1+Assumptions!$B$9)^3</f>
        <v>0.77284779922838143</v>
      </c>
      <c r="F11" s="23">
        <f>1/(1+Assumptions!$B$9)^4</f>
        <v>0.70923795039584281</v>
      </c>
      <c r="G11" s="23">
        <f>1/(1+Assumptions!$B$9)^5</f>
        <v>0.65086356043701543</v>
      </c>
      <c r="H11" s="23">
        <f>1/(1+Assumptions!$B$9)^6</f>
        <v>0.59729372077215259</v>
      </c>
      <c r="I11" s="23">
        <f>1/(1+Assumptions!$B$9)^7</f>
        <v>0.54813298909267505</v>
      </c>
      <c r="J11" s="23">
        <f>1/(1+Assumptions!$B$9)^8</f>
        <v>0.503018470281696</v>
      </c>
      <c r="K11" s="23">
        <f>1/(1+Assumptions!$B$9)^9</f>
        <v>0.46161713759168954</v>
      </c>
      <c r="L11" s="23">
        <f>1/(1+Assumptions!$B$9)^10</f>
        <v>0.42362337430474833</v>
      </c>
    </row>
    <row r="12" spans="1:13" ht="15" customHeight="1">
      <c r="A12" s="5" t="s">
        <v>53</v>
      </c>
      <c r="C12" s="18">
        <f t="shared" ref="C12:L12" si="3">C10*C11</f>
        <v>745.29220709961612</v>
      </c>
      <c r="D12" s="18">
        <f t="shared" si="3"/>
        <v>782.42360562645661</v>
      </c>
      <c r="E12" s="18">
        <f t="shared" si="3"/>
        <v>805.49588498303513</v>
      </c>
      <c r="F12" s="18">
        <f t="shared" si="3"/>
        <v>823.39913947407024</v>
      </c>
      <c r="G12" s="18">
        <f t="shared" si="3"/>
        <v>835.90981690698948</v>
      </c>
      <c r="H12" s="18">
        <f t="shared" si="3"/>
        <v>838.03228069943043</v>
      </c>
      <c r="I12" s="18">
        <f t="shared" si="3"/>
        <v>837.77279158443548</v>
      </c>
      <c r="J12" s="18">
        <f t="shared" si="3"/>
        <v>831.36919702598641</v>
      </c>
      <c r="K12" s="18">
        <f t="shared" si="3"/>
        <v>809.85968486910917</v>
      </c>
      <c r="L12" s="18">
        <f t="shared" si="3"/>
        <v>784.56917201950409</v>
      </c>
    </row>
    <row r="14" spans="1:13" ht="15" customHeight="1">
      <c r="A14" s="4" t="s">
        <v>54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" customHeight="1">
      <c r="A15" s="5" t="s">
        <v>55</v>
      </c>
      <c r="B15" s="18">
        <f>SUM(C12:L12)</f>
        <v>8094.1237802886317</v>
      </c>
    </row>
    <row r="16" spans="1:13" ht="15" customHeight="1">
      <c r="A16" s="5" t="s">
        <v>56</v>
      </c>
      <c r="B16" s="18">
        <f>L10*(1+Assumptions!$B$8)/(Assumptions!$B$9-Assumptions!$B$8)</f>
        <v>43309.243142771295</v>
      </c>
    </row>
    <row r="17" spans="1:12" ht="15" customHeight="1">
      <c r="A17" s="5" t="s">
        <v>57</v>
      </c>
      <c r="B17" s="18">
        <f>B16*L11</f>
        <v>18346.807718725559</v>
      </c>
    </row>
    <row r="18" spans="1:12" ht="15" customHeight="1">
      <c r="A18" s="14" t="s">
        <v>58</v>
      </c>
      <c r="B18" s="19">
        <f>B15+B17</f>
        <v>26440.93149901419</v>
      </c>
    </row>
    <row r="19" spans="1:12" ht="15" customHeight="1">
      <c r="A19" s="5" t="s">
        <v>59</v>
      </c>
      <c r="B19" s="17">
        <f>Assumptions!$B$22</f>
        <v>6460</v>
      </c>
    </row>
    <row r="20" spans="1:12" ht="15" customHeight="1">
      <c r="A20" s="14" t="s">
        <v>60</v>
      </c>
      <c r="B20" s="19">
        <f>B18+Assumptions!$B$22</f>
        <v>32900.931499014187</v>
      </c>
    </row>
    <row r="21" spans="1:12" ht="15" customHeight="1">
      <c r="A21" s="5" t="s">
        <v>61</v>
      </c>
      <c r="B21" s="24">
        <f>Assumptions!$B$23</f>
        <v>167.1</v>
      </c>
    </row>
    <row r="22" spans="1:12" ht="18.75" customHeight="1">
      <c r="A22" s="25" t="s">
        <v>62</v>
      </c>
      <c r="B22" s="26">
        <f>B20/Assumptions!$B$23</f>
        <v>196.89366546387905</v>
      </c>
    </row>
    <row r="23" spans="1:12" ht="15" customHeight="1">
      <c r="A23" s="9" t="s">
        <v>63</v>
      </c>
      <c r="B23" s="27">
        <v>163.85</v>
      </c>
    </row>
    <row r="24" spans="1:12" ht="15" customHeight="1">
      <c r="A24" s="14" t="s">
        <v>64</v>
      </c>
      <c r="B24" s="28">
        <f>B22/B23-1</f>
        <v>0.20167021949270092</v>
      </c>
    </row>
    <row r="25" spans="1:12" ht="15" customHeight="1">
      <c r="A25" s="5" t="s">
        <v>65</v>
      </c>
      <c r="B25" s="20">
        <f>B17/B18</f>
        <v>0.69387902311269145</v>
      </c>
    </row>
    <row r="30" spans="1:12" ht="16.5" customHeight="1">
      <c r="A30" s="10" t="s">
        <v>66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" customHeight="1">
      <c r="A31" s="9" t="s">
        <v>67</v>
      </c>
      <c r="B31" s="18">
        <f>B5*0.24</f>
        <v>766.87199999999996</v>
      </c>
      <c r="C31" s="18">
        <f>C5*0.235</f>
        <v>819.91201505349989</v>
      </c>
      <c r="D31" s="18">
        <f>D5*0.23</f>
        <v>874.34076508176008</v>
      </c>
      <c r="E31" s="18">
        <f>E5*0.225</f>
        <v>930.43267084633055</v>
      </c>
      <c r="F31" s="18">
        <f>F5*0.22</f>
        <v>986.41526753220865</v>
      </c>
      <c r="G31" s="18">
        <f>G5*0.215</f>
        <v>1043.8759762203761</v>
      </c>
      <c r="H31" s="18">
        <f>H5*0.21</f>
        <v>1099.4321992344201</v>
      </c>
      <c r="I31" s="18">
        <f>I5*0.205</f>
        <v>1154.8430860674662</v>
      </c>
      <c r="J31" s="18">
        <f>J5*0.2</f>
        <v>1204.9027363686898</v>
      </c>
      <c r="K31" s="18">
        <f>K5*0.198</f>
        <v>1262.5441553070414</v>
      </c>
      <c r="L31" s="18">
        <f>L5*0.196</f>
        <v>1311.4349146815559</v>
      </c>
    </row>
    <row r="32" spans="1:12" ht="15" customHeight="1">
      <c r="A32" s="5" t="s">
        <v>68</v>
      </c>
      <c r="B32" s="29">
        <f>(B43+C43+D43+E43+B31)/5</f>
        <v>598.19439999999997</v>
      </c>
      <c r="C32" s="18">
        <f>(C43+D43+E43+B31+C31)/5</f>
        <v>685.77680301069995</v>
      </c>
      <c r="D32" s="18">
        <f>(D43+E43+B31+C31+D31)/5</f>
        <v>756.64495602705188</v>
      </c>
      <c r="E32" s="18">
        <f>(E43+B31+C31+D31+E31)/5</f>
        <v>816.93149019631801</v>
      </c>
      <c r="F32" s="18">
        <f t="shared" ref="F32:L32" si="4">(B31+C31+D31+E31+F31)/5</f>
        <v>875.59454370275978</v>
      </c>
      <c r="G32" s="18">
        <f t="shared" si="4"/>
        <v>930.99533894683498</v>
      </c>
      <c r="H32" s="18">
        <f t="shared" si="4"/>
        <v>986.8993757830192</v>
      </c>
      <c r="I32" s="18">
        <f t="shared" si="4"/>
        <v>1042.9998399801602</v>
      </c>
      <c r="J32" s="18">
        <f t="shared" si="4"/>
        <v>1097.8938530846322</v>
      </c>
      <c r="K32" s="18">
        <f t="shared" si="4"/>
        <v>1153.1196306395987</v>
      </c>
      <c r="L32" s="18">
        <f t="shared" si="4"/>
        <v>1206.6314183318348</v>
      </c>
    </row>
    <row r="33" spans="1:12" ht="15" customHeight="1">
      <c r="A33" s="9" t="s">
        <v>69</v>
      </c>
      <c r="B33" s="18">
        <f t="shared" ref="B33:L33" si="5">B31-B32</f>
        <v>168.67759999999998</v>
      </c>
      <c r="C33" s="18">
        <f t="shared" si="5"/>
        <v>134.13521204279994</v>
      </c>
      <c r="D33" s="18">
        <f t="shared" si="5"/>
        <v>117.69580905470821</v>
      </c>
      <c r="E33" s="18">
        <f t="shared" si="5"/>
        <v>113.50118065001254</v>
      </c>
      <c r="F33" s="18">
        <f t="shared" si="5"/>
        <v>110.82072382944887</v>
      </c>
      <c r="G33" s="18">
        <f t="shared" si="5"/>
        <v>112.88063727354108</v>
      </c>
      <c r="H33" s="18">
        <f t="shared" si="5"/>
        <v>112.53282345140087</v>
      </c>
      <c r="I33" s="18">
        <f t="shared" si="5"/>
        <v>111.84324608730594</v>
      </c>
      <c r="J33" s="18">
        <f t="shared" si="5"/>
        <v>107.00888328405767</v>
      </c>
      <c r="K33" s="18">
        <f t="shared" si="5"/>
        <v>109.42452466744271</v>
      </c>
      <c r="L33" s="18">
        <f t="shared" si="5"/>
        <v>104.80349634972117</v>
      </c>
    </row>
    <row r="34" spans="1:12" ht="15" customHeight="1">
      <c r="A34" s="9" t="s">
        <v>70</v>
      </c>
      <c r="B34" s="18">
        <v>0</v>
      </c>
      <c r="C34" s="18">
        <f t="shared" ref="C34:L34" si="6">(C5-B5)*0.02</f>
        <v>5.8737459620000028</v>
      </c>
      <c r="D34" s="18">
        <f t="shared" si="6"/>
        <v>6.2498857842400053</v>
      </c>
      <c r="E34" s="18">
        <f t="shared" si="6"/>
        <v>6.6754945512116048</v>
      </c>
      <c r="F34" s="18">
        <f t="shared" si="6"/>
        <v>6.9689889327491805</v>
      </c>
      <c r="G34" s="18">
        <f t="shared" si="6"/>
        <v>7.4306267437876885</v>
      </c>
      <c r="H34" s="18">
        <f t="shared" si="6"/>
        <v>7.6030865245277344</v>
      </c>
      <c r="I34" s="18">
        <f t="shared" si="6"/>
        <v>7.9597896544073228</v>
      </c>
      <c r="J34" s="18">
        <f t="shared" si="6"/>
        <v>7.8226554839454545</v>
      </c>
      <c r="K34" s="18">
        <f t="shared" si="6"/>
        <v>7.0394390204079178</v>
      </c>
      <c r="L34" s="18">
        <f t="shared" si="6"/>
        <v>6.2901765959430849</v>
      </c>
    </row>
    <row r="35" spans="1:12" ht="15" customHeight="1">
      <c r="A35" s="9" t="s">
        <v>71</v>
      </c>
      <c r="B35" s="18">
        <f t="shared" ref="B35:L35" si="7">B5*0.01</f>
        <v>31.952999999999999</v>
      </c>
      <c r="C35" s="18">
        <f t="shared" si="7"/>
        <v>34.889872980999996</v>
      </c>
      <c r="D35" s="18">
        <f t="shared" si="7"/>
        <v>38.01481587312</v>
      </c>
      <c r="E35" s="18">
        <f t="shared" si="7"/>
        <v>41.352563148725807</v>
      </c>
      <c r="F35" s="18">
        <f t="shared" si="7"/>
        <v>44.837057615100392</v>
      </c>
      <c r="G35" s="18">
        <f t="shared" si="7"/>
        <v>48.552370986994241</v>
      </c>
      <c r="H35" s="18">
        <f t="shared" si="7"/>
        <v>52.353914249258104</v>
      </c>
      <c r="I35" s="18">
        <f t="shared" si="7"/>
        <v>56.333809076461769</v>
      </c>
      <c r="J35" s="18">
        <f t="shared" si="7"/>
        <v>60.245136818434496</v>
      </c>
      <c r="K35" s="18">
        <f t="shared" si="7"/>
        <v>63.764856328638452</v>
      </c>
      <c r="L35" s="18">
        <f t="shared" si="7"/>
        <v>66.909944626609999</v>
      </c>
    </row>
    <row r="37" spans="1:12" ht="15" customHeight="1">
      <c r="A37" s="10" t="s">
        <v>72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" customHeight="1">
      <c r="A38" s="5" t="s">
        <v>73</v>
      </c>
      <c r="B38" s="29">
        <f>B51</f>
        <v>2583</v>
      </c>
      <c r="C38" s="18">
        <f t="shared" ref="C38:L38" si="8">B38+C9</f>
        <v>2757.8988309858</v>
      </c>
      <c r="D38" s="18">
        <f t="shared" si="8"/>
        <v>2919.8593416978683</v>
      </c>
      <c r="E38" s="18">
        <f t="shared" si="8"/>
        <v>3081.3885800478183</v>
      </c>
      <c r="F38" s="18">
        <f t="shared" si="8"/>
        <v>3244.0153504251166</v>
      </c>
      <c r="G38" s="18">
        <f t="shared" si="8"/>
        <v>3412.8789854294396</v>
      </c>
      <c r="H38" s="18">
        <f t="shared" si="8"/>
        <v>3585.3688096546261</v>
      </c>
      <c r="I38" s="18">
        <f t="shared" si="8"/>
        <v>3761.5056544728013</v>
      </c>
      <c r="J38" s="18">
        <f t="shared" si="8"/>
        <v>3936.5823300592388</v>
      </c>
      <c r="K38" s="18">
        <f t="shared" si="8"/>
        <v>4116.8111500757277</v>
      </c>
      <c r="L38" s="18">
        <f t="shared" si="8"/>
        <v>4294.8147676480021</v>
      </c>
    </row>
    <row r="39" spans="1:12" ht="15" customHeight="1">
      <c r="A39" s="5" t="s">
        <v>74</v>
      </c>
      <c r="C39" s="16">
        <f t="shared" ref="C39:L39" si="9">C8/B38</f>
        <v>0.38212718026809522</v>
      </c>
      <c r="D39" s="16">
        <f t="shared" si="9"/>
        <v>0.39560015882401361</v>
      </c>
      <c r="E39" s="16">
        <f t="shared" si="9"/>
        <v>0.4122709255437717</v>
      </c>
      <c r="F39" s="16">
        <f t="shared" si="9"/>
        <v>0.42954333944381123</v>
      </c>
      <c r="G39" s="16">
        <f t="shared" si="9"/>
        <v>0.44795486662857636</v>
      </c>
      <c r="H39" s="16">
        <f t="shared" si="9"/>
        <v>0.46164505162462566</v>
      </c>
      <c r="I39" s="16">
        <f t="shared" si="9"/>
        <v>0.47541786787612988</v>
      </c>
      <c r="J39" s="16">
        <f t="shared" si="9"/>
        <v>0.48593239489028112</v>
      </c>
      <c r="K39" s="16">
        <f t="shared" si="9"/>
        <v>0.49144805793551838</v>
      </c>
      <c r="L39" s="16">
        <f t="shared" si="9"/>
        <v>0.49311169397070959</v>
      </c>
    </row>
    <row r="40" spans="1:12" ht="15" customHeight="1">
      <c r="A40" s="5" t="s">
        <v>75</v>
      </c>
      <c r="C40" s="30">
        <f t="shared" ref="C40:L40" si="10">(C5-B5)/C9</f>
        <v>1.6791838827318673</v>
      </c>
      <c r="D40" s="30">
        <f t="shared" si="10"/>
        <v>1.9294474180039447</v>
      </c>
      <c r="E40" s="30">
        <f t="shared" si="10"/>
        <v>2.066342483689942</v>
      </c>
      <c r="F40" s="30">
        <f t="shared" si="10"/>
        <v>2.1426327647597438</v>
      </c>
      <c r="G40" s="30">
        <f t="shared" si="10"/>
        <v>2.2001855946063995</v>
      </c>
      <c r="H40" s="30">
        <f t="shared" si="10"/>
        <v>2.2039232049427593</v>
      </c>
      <c r="I40" s="30">
        <f t="shared" si="10"/>
        <v>2.2595470194280374</v>
      </c>
      <c r="J40" s="30">
        <f t="shared" si="10"/>
        <v>2.2340655766231143</v>
      </c>
      <c r="K40" s="30">
        <f t="shared" si="10"/>
        <v>1.9529171360506832</v>
      </c>
      <c r="L40" s="30">
        <f t="shared" si="10"/>
        <v>1.7668676293584606</v>
      </c>
    </row>
    <row r="43" spans="1:12" ht="15" customHeight="1">
      <c r="A43" s="31" t="s">
        <v>76</v>
      </c>
      <c r="B43" s="32">
        <v>382</v>
      </c>
      <c r="C43" s="32">
        <v>520</v>
      </c>
      <c r="D43" s="32">
        <v>629</v>
      </c>
      <c r="E43" s="32">
        <v>693.1</v>
      </c>
      <c r="F43" s="32">
        <v>767.4</v>
      </c>
    </row>
    <row r="44" spans="1:12" ht="15" customHeight="1">
      <c r="B44" s="33" t="s">
        <v>77</v>
      </c>
      <c r="C44" s="33" t="s">
        <v>78</v>
      </c>
      <c r="D44" s="33" t="s">
        <v>79</v>
      </c>
      <c r="E44" s="33" t="s">
        <v>80</v>
      </c>
      <c r="F44" s="33" t="s">
        <v>28</v>
      </c>
    </row>
    <row r="46" spans="1:12" ht="15" customHeight="1">
      <c r="A46" s="34" t="s">
        <v>81</v>
      </c>
    </row>
    <row r="47" spans="1:12" ht="15" customHeight="1">
      <c r="A47" s="35" t="s">
        <v>82</v>
      </c>
      <c r="B47" s="36">
        <v>7200</v>
      </c>
    </row>
    <row r="48" spans="1:12" ht="15" customHeight="1">
      <c r="A48" s="37" t="s">
        <v>83</v>
      </c>
      <c r="B48" s="36">
        <v>0</v>
      </c>
    </row>
    <row r="49" spans="1:2" ht="15" customHeight="1">
      <c r="A49" s="37" t="s">
        <v>84</v>
      </c>
      <c r="B49" s="36">
        <v>-6600</v>
      </c>
    </row>
    <row r="50" spans="1:2" ht="15" customHeight="1">
      <c r="A50" s="37" t="s">
        <v>85</v>
      </c>
      <c r="B50" s="36">
        <v>1983</v>
      </c>
    </row>
    <row r="51" spans="1:2" ht="15" customHeight="1">
      <c r="A51" s="38" t="s">
        <v>86</v>
      </c>
      <c r="B51" s="39">
        <f>SUM(B47:B50)</f>
        <v>2583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topLeftCell="A3" zoomScale="150" zoomScaleNormal="150" workbookViewId="0">
      <selection activeCell="E36" sqref="E36"/>
    </sheetView>
  </sheetViews>
  <sheetFormatPr baseColWidth="10" defaultColWidth="8.6640625" defaultRowHeight="15"/>
  <cols>
    <col min="1" max="1" width="24" customWidth="1"/>
    <col min="2" max="6" width="13" customWidth="1"/>
  </cols>
  <sheetData>
    <row r="1" spans="1:6" ht="18.75" customHeight="1">
      <c r="A1" s="13" t="s">
        <v>87</v>
      </c>
      <c r="B1" s="2"/>
      <c r="C1" s="2"/>
      <c r="D1" s="2"/>
      <c r="E1" s="2"/>
      <c r="F1" s="2"/>
    </row>
    <row r="3" spans="1:6" ht="15" customHeight="1">
      <c r="A3" s="40" t="s">
        <v>88</v>
      </c>
      <c r="B3" s="40" t="s">
        <v>89</v>
      </c>
      <c r="C3" s="40" t="s">
        <v>90</v>
      </c>
      <c r="D3" s="40" t="s">
        <v>91</v>
      </c>
      <c r="E3" s="40" t="s">
        <v>92</v>
      </c>
    </row>
    <row r="4" spans="1:6" ht="15" customHeight="1">
      <c r="A4" s="5" t="s">
        <v>93</v>
      </c>
      <c r="B4" s="41">
        <v>1.05</v>
      </c>
      <c r="C4" s="6">
        <v>0.22</v>
      </c>
      <c r="D4" s="11">
        <v>158000</v>
      </c>
      <c r="E4" s="11">
        <v>11500</v>
      </c>
    </row>
    <row r="5" spans="1:6" ht="15" customHeight="1">
      <c r="A5" s="5" t="s">
        <v>94</v>
      </c>
      <c r="B5" s="41">
        <v>1.1000000000000001</v>
      </c>
      <c r="C5" s="6">
        <v>0.21</v>
      </c>
      <c r="D5" s="11">
        <v>86000</v>
      </c>
      <c r="E5" s="11">
        <v>7300</v>
      </c>
    </row>
    <row r="6" spans="1:6" ht="15" customHeight="1">
      <c r="A6" s="5" t="s">
        <v>95</v>
      </c>
      <c r="B6" s="41">
        <v>1.1499999999999999</v>
      </c>
      <c r="C6" s="6">
        <v>0.18</v>
      </c>
      <c r="D6" s="11">
        <v>42000</v>
      </c>
      <c r="E6" s="11">
        <v>4800</v>
      </c>
    </row>
    <row r="7" spans="1:6" ht="15" customHeight="1">
      <c r="A7" s="5" t="s">
        <v>96</v>
      </c>
      <c r="B7" s="41">
        <v>0.9</v>
      </c>
      <c r="C7" s="6">
        <v>0.23</v>
      </c>
      <c r="D7" s="11">
        <v>38000</v>
      </c>
      <c r="E7" s="11">
        <v>3200</v>
      </c>
    </row>
    <row r="8" spans="1:6" ht="15" customHeight="1">
      <c r="A8" s="5" t="s">
        <v>97</v>
      </c>
      <c r="B8" s="41">
        <v>0.95</v>
      </c>
      <c r="C8" s="6">
        <v>0.2</v>
      </c>
      <c r="D8" s="11">
        <v>16000</v>
      </c>
      <c r="E8" s="11">
        <v>1800</v>
      </c>
    </row>
    <row r="9" spans="1:6" ht="15" customHeight="1">
      <c r="A9" s="5" t="s">
        <v>98</v>
      </c>
      <c r="B9" s="41">
        <v>0.95</v>
      </c>
      <c r="C9" s="6">
        <v>0.19</v>
      </c>
      <c r="D9" s="11">
        <v>56000</v>
      </c>
      <c r="E9" s="11">
        <v>6900</v>
      </c>
    </row>
    <row r="10" spans="1:6" ht="15" customHeight="1">
      <c r="A10" s="5" t="s">
        <v>99</v>
      </c>
      <c r="B10" s="41">
        <v>1</v>
      </c>
      <c r="C10" s="6">
        <v>0.21</v>
      </c>
      <c r="D10" s="11">
        <v>22000</v>
      </c>
      <c r="E10" s="11">
        <v>600</v>
      </c>
    </row>
    <row r="11" spans="1:6" ht="15" customHeight="1">
      <c r="A11" s="5" t="s">
        <v>100</v>
      </c>
      <c r="B11" s="41">
        <v>1.3</v>
      </c>
      <c r="C11" s="6">
        <v>0.2</v>
      </c>
      <c r="D11" s="11">
        <v>245000</v>
      </c>
      <c r="E11" s="11">
        <v>13000</v>
      </c>
    </row>
    <row r="12" spans="1:6" ht="15" customHeight="1">
      <c r="A12" s="5" t="s">
        <v>101</v>
      </c>
      <c r="B12" s="41">
        <v>1.3</v>
      </c>
      <c r="C12" s="6">
        <v>0.18</v>
      </c>
      <c r="D12" s="11">
        <v>175000</v>
      </c>
      <c r="E12" s="11">
        <v>6000</v>
      </c>
    </row>
    <row r="13" spans="1:6" ht="15" customHeight="1">
      <c r="A13" s="5" t="s">
        <v>102</v>
      </c>
      <c r="B13" s="41">
        <v>1.45</v>
      </c>
      <c r="C13" s="6">
        <v>0.2</v>
      </c>
      <c r="D13" s="11">
        <v>62000</v>
      </c>
      <c r="E13" s="11">
        <v>2300</v>
      </c>
    </row>
    <row r="14" spans="1:6" ht="15" customHeight="1">
      <c r="A14" s="5" t="s">
        <v>103</v>
      </c>
      <c r="B14" s="41">
        <v>1.2</v>
      </c>
      <c r="C14" s="6">
        <v>0.19</v>
      </c>
      <c r="D14" s="11">
        <v>65000</v>
      </c>
      <c r="E14" s="11">
        <v>3000</v>
      </c>
    </row>
    <row r="15" spans="1:6" ht="15" customHeight="1">
      <c r="A15" s="5" t="s">
        <v>104</v>
      </c>
      <c r="B15" s="41">
        <v>1.05</v>
      </c>
      <c r="C15" s="6">
        <v>0.2</v>
      </c>
      <c r="D15" s="11">
        <v>195000</v>
      </c>
      <c r="E15" s="11">
        <v>1900</v>
      </c>
    </row>
    <row r="16" spans="1:6" ht="15" customHeight="1">
      <c r="A16" s="5" t="s">
        <v>105</v>
      </c>
      <c r="B16" s="41">
        <v>1.2</v>
      </c>
      <c r="C16" s="6">
        <v>0.22</v>
      </c>
      <c r="D16" s="11">
        <v>175000</v>
      </c>
      <c r="E16" s="11">
        <v>6500</v>
      </c>
    </row>
    <row r="17" spans="1:6" ht="15" customHeight="1">
      <c r="A17" s="14" t="s">
        <v>106</v>
      </c>
      <c r="D17" s="18">
        <f>SUM(D4:D16)</f>
        <v>1335000</v>
      </c>
      <c r="E17" s="18">
        <f>SUM(E4:E16)</f>
        <v>68800</v>
      </c>
    </row>
    <row r="19" spans="1:6" ht="15" customHeight="1">
      <c r="A19" s="10" t="s">
        <v>107</v>
      </c>
      <c r="B19" s="2"/>
      <c r="C19" s="2"/>
      <c r="D19" s="2"/>
      <c r="E19" s="2"/>
      <c r="F19" s="2"/>
    </row>
    <row r="20" spans="1:6" ht="15" customHeight="1">
      <c r="A20" s="5" t="s">
        <v>108</v>
      </c>
      <c r="B20" s="42">
        <f>MEDIAN(B4:B16)</f>
        <v>1.1000000000000001</v>
      </c>
    </row>
    <row r="21" spans="1:6" ht="15" customHeight="1">
      <c r="A21" s="5" t="s">
        <v>109</v>
      </c>
      <c r="B21" s="16">
        <f>MEDIAN(C4:C16)</f>
        <v>0.2</v>
      </c>
    </row>
    <row r="22" spans="1:6" ht="15" customHeight="1">
      <c r="A22" s="9" t="s">
        <v>110</v>
      </c>
      <c r="B22" s="16">
        <f>E17/D17</f>
        <v>5.1535580524344572E-2</v>
      </c>
    </row>
    <row r="23" spans="1:6" ht="15" customHeight="1">
      <c r="A23" s="5" t="s">
        <v>111</v>
      </c>
      <c r="B23" s="42">
        <f>B20/(1+(1-B21)*B22)</f>
        <v>1.0564444188656443</v>
      </c>
    </row>
    <row r="24" spans="1:6" ht="15" customHeight="1">
      <c r="A24" s="43" t="s">
        <v>112</v>
      </c>
      <c r="B24" s="44">
        <v>0.99</v>
      </c>
    </row>
    <row r="25" spans="1:6" ht="15" customHeight="1">
      <c r="A25" s="43" t="s">
        <v>113</v>
      </c>
      <c r="B25" s="44">
        <v>0.92</v>
      </c>
    </row>
    <row r="26" spans="1:6" ht="15" customHeight="1">
      <c r="A26" s="5" t="s">
        <v>114</v>
      </c>
      <c r="B26" s="21">
        <v>0</v>
      </c>
    </row>
    <row r="27" spans="1:6" ht="15" customHeight="1">
      <c r="A27" s="22" t="s">
        <v>115</v>
      </c>
      <c r="B27" s="45">
        <f>B23*(1+(1-Assumptions!$B$10)*B26)</f>
        <v>1.0564444188656443</v>
      </c>
    </row>
    <row r="29" spans="1:6" ht="15" customHeight="1">
      <c r="A29" s="10" t="s">
        <v>116</v>
      </c>
      <c r="B29" s="2"/>
      <c r="C29" s="2"/>
      <c r="D29" s="2"/>
      <c r="E29" s="2"/>
      <c r="F29" s="2"/>
    </row>
    <row r="30" spans="1:6" ht="15" customHeight="1">
      <c r="A30" s="9" t="s">
        <v>117</v>
      </c>
      <c r="B30" s="46">
        <v>4.4999999999999998E-2</v>
      </c>
    </row>
    <row r="31" spans="1:6" ht="15" customHeight="1">
      <c r="A31" s="5" t="s">
        <v>118</v>
      </c>
      <c r="B31" s="46">
        <v>4.2299999999999997E-2</v>
      </c>
    </row>
    <row r="32" spans="1:6" ht="15" customHeight="1">
      <c r="A32" s="5" t="s">
        <v>119</v>
      </c>
      <c r="B32" s="47">
        <f>B30+B27*B31</f>
        <v>8.9687598918016753E-2</v>
      </c>
    </row>
    <row r="33" spans="1:2" ht="18.75" customHeight="1">
      <c r="A33" s="48" t="s">
        <v>120</v>
      </c>
      <c r="B33" s="49">
        <f>B32</f>
        <v>8.9687598918016753E-2</v>
      </c>
    </row>
    <row r="35" spans="1:2" ht="15" customHeight="1">
      <c r="A35" s="50" t="s">
        <v>121</v>
      </c>
    </row>
    <row r="36" spans="1:2" ht="15" customHeight="1">
      <c r="A36" s="43" t="s">
        <v>122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zoomScale="170" zoomScaleNormal="170" workbookViewId="0">
      <selection activeCell="A16" sqref="A16"/>
    </sheetView>
  </sheetViews>
  <sheetFormatPr baseColWidth="10" defaultColWidth="8.6640625" defaultRowHeight="15"/>
  <cols>
    <col min="1" max="1" width="22" customWidth="1"/>
    <col min="2" max="5" width="14" customWidth="1"/>
  </cols>
  <sheetData>
    <row r="1" spans="1:5" ht="18.75" customHeight="1">
      <c r="A1" s="13" t="s">
        <v>123</v>
      </c>
      <c r="B1" s="2"/>
      <c r="C1" s="2"/>
      <c r="D1" s="2"/>
      <c r="E1" s="2"/>
    </row>
    <row r="3" spans="1:5" ht="15" customHeight="1">
      <c r="A3" s="14" t="s">
        <v>124</v>
      </c>
      <c r="B3" s="51" t="s">
        <v>125</v>
      </c>
      <c r="C3" s="52" t="s">
        <v>126</v>
      </c>
      <c r="D3" s="51" t="s">
        <v>127</v>
      </c>
      <c r="E3" s="51" t="s">
        <v>128</v>
      </c>
    </row>
    <row r="4" spans="1:5" ht="15" customHeight="1">
      <c r="A4" s="5" t="s">
        <v>129</v>
      </c>
      <c r="B4" s="53">
        <v>0.02</v>
      </c>
      <c r="C4" s="53">
        <v>0.03</v>
      </c>
      <c r="D4" s="53">
        <v>0.04</v>
      </c>
      <c r="E4" s="53">
        <v>0.05</v>
      </c>
    </row>
    <row r="5" spans="1:5" ht="15" customHeight="1">
      <c r="A5" s="5" t="s">
        <v>130</v>
      </c>
      <c r="B5" s="53">
        <v>0.14499999999999999</v>
      </c>
      <c r="C5" s="53">
        <v>0.13500000000000001</v>
      </c>
      <c r="D5" s="53">
        <v>0.11</v>
      </c>
      <c r="E5" s="53">
        <v>0.09</v>
      </c>
    </row>
    <row r="6" spans="1:5" ht="15" customHeight="1">
      <c r="A6" s="5" t="s">
        <v>131</v>
      </c>
      <c r="B6" s="54">
        <v>1.1499999999999999</v>
      </c>
      <c r="C6" s="54">
        <v>1</v>
      </c>
      <c r="D6" s="54">
        <v>0.85</v>
      </c>
      <c r="E6" s="54">
        <v>0.7</v>
      </c>
    </row>
    <row r="7" spans="1:5" ht="15" customHeight="1">
      <c r="A7" s="5" t="s">
        <v>132</v>
      </c>
      <c r="B7" s="55">
        <v>6</v>
      </c>
      <c r="C7" s="55">
        <v>5</v>
      </c>
      <c r="D7" s="55">
        <v>4</v>
      </c>
      <c r="E7" s="55">
        <v>3</v>
      </c>
    </row>
    <row r="8" spans="1:5" ht="15" customHeight="1">
      <c r="A8" s="5" t="s">
        <v>7</v>
      </c>
      <c r="B8" s="53">
        <v>8.5000000000000006E-2</v>
      </c>
      <c r="C8" s="53">
        <v>0.09</v>
      </c>
      <c r="D8" s="53">
        <v>9.5000000000000001E-2</v>
      </c>
      <c r="E8" s="53">
        <v>0.1</v>
      </c>
    </row>
    <row r="9" spans="1:5" ht="15" customHeight="1">
      <c r="A9" s="5" t="s">
        <v>133</v>
      </c>
      <c r="B9" s="53">
        <v>4.4999999999999998E-2</v>
      </c>
      <c r="C9" s="53">
        <v>4.4999999999999998E-2</v>
      </c>
      <c r="D9" s="53">
        <v>4.4999999999999998E-2</v>
      </c>
      <c r="E9" s="53">
        <v>0.04</v>
      </c>
    </row>
    <row r="10" spans="1:5" ht="15" customHeight="1">
      <c r="A10" s="9" t="s">
        <v>134</v>
      </c>
      <c r="B10" s="53">
        <v>0.38</v>
      </c>
      <c r="C10" s="53">
        <v>0.37</v>
      </c>
      <c r="D10" s="53">
        <v>0.35499999999999998</v>
      </c>
      <c r="E10" s="53">
        <v>0.34</v>
      </c>
    </row>
    <row r="12" spans="1:5" ht="15" customHeight="1">
      <c r="A12" s="4" t="s">
        <v>135</v>
      </c>
      <c r="B12" s="2"/>
      <c r="C12" s="2"/>
      <c r="D12" s="2"/>
      <c r="E12" s="2"/>
    </row>
    <row r="13" spans="1:5" ht="15" customHeight="1">
      <c r="A13" s="5" t="s">
        <v>136</v>
      </c>
      <c r="B13" s="56">
        <v>4.9411319601273602</v>
      </c>
      <c r="C13" s="56">
        <v>4.85523709869942</v>
      </c>
      <c r="D13" s="56">
        <v>4.7354651660890603</v>
      </c>
      <c r="E13" s="56">
        <v>4.6269855905395003</v>
      </c>
    </row>
    <row r="14" spans="1:5" ht="15" customHeight="1">
      <c r="A14" s="5" t="s">
        <v>137</v>
      </c>
      <c r="B14" s="56">
        <v>6.9704302984217898</v>
      </c>
      <c r="C14" s="56">
        <v>6.6869543839746903</v>
      </c>
      <c r="D14" s="56">
        <v>6.36334281686658</v>
      </c>
      <c r="E14" s="56">
        <v>6.0659604920588297</v>
      </c>
    </row>
    <row r="15" spans="1:5" ht="15" customHeight="1">
      <c r="A15" s="5" t="s">
        <v>221</v>
      </c>
      <c r="B15" s="57">
        <v>0.72625257527782805</v>
      </c>
      <c r="C15" s="57">
        <v>0.69082957514458698</v>
      </c>
      <c r="D15" s="57">
        <v>0.65462811014218103</v>
      </c>
      <c r="E15" s="57">
        <v>0.59655327660712798</v>
      </c>
    </row>
    <row r="16" spans="1:5" ht="15" customHeight="1">
      <c r="A16" s="14" t="s">
        <v>138</v>
      </c>
      <c r="B16" s="58">
        <v>223.77884211625499</v>
      </c>
      <c r="C16" s="58">
        <v>196.100247520598</v>
      </c>
      <c r="D16" s="58">
        <v>171.24113514467101</v>
      </c>
      <c r="E16" s="58">
        <v>145.317089195053</v>
      </c>
    </row>
    <row r="17" spans="1:5" ht="15" customHeight="1">
      <c r="A17" s="14" t="s">
        <v>139</v>
      </c>
      <c r="B17" s="59">
        <v>0.36575430037384599</v>
      </c>
      <c r="C17" s="59">
        <v>0.19682787623190501</v>
      </c>
      <c r="D17" s="59">
        <v>4.51091555976251E-2</v>
      </c>
      <c r="E17" s="60">
        <v>-0.113109007048808</v>
      </c>
    </row>
    <row r="19" spans="1:5" ht="15" customHeight="1">
      <c r="A19" s="31" t="s">
        <v>140</v>
      </c>
    </row>
    <row r="20" spans="1:5" ht="15" customHeight="1">
      <c r="A20" s="50" t="s">
        <v>141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zoomScale="170" zoomScaleNormal="170" workbookViewId="0">
      <selection activeCell="C5" sqref="C5"/>
    </sheetView>
  </sheetViews>
  <sheetFormatPr baseColWidth="10" defaultColWidth="8.6640625" defaultRowHeight="15"/>
  <cols>
    <col min="1" max="1" width="22" customWidth="1"/>
    <col min="2" max="7" width="12" customWidth="1"/>
  </cols>
  <sheetData>
    <row r="1" spans="1:7" ht="18.75" customHeight="1">
      <c r="A1" s="61" t="s">
        <v>142</v>
      </c>
      <c r="B1" s="2"/>
      <c r="C1" s="2"/>
      <c r="D1" s="2"/>
      <c r="E1" s="2"/>
      <c r="F1" s="2"/>
      <c r="G1" s="2"/>
    </row>
    <row r="3" spans="1:7" ht="15" customHeight="1">
      <c r="A3" s="62" t="s">
        <v>143</v>
      </c>
      <c r="B3" s="63" t="s">
        <v>144</v>
      </c>
      <c r="C3" s="64" t="s">
        <v>145</v>
      </c>
      <c r="D3" s="63" t="s">
        <v>146</v>
      </c>
      <c r="E3" s="63" t="s">
        <v>147</v>
      </c>
    </row>
    <row r="4" spans="1:7" ht="15" customHeight="1">
      <c r="A4" s="65">
        <v>0.02</v>
      </c>
      <c r="B4" s="66">
        <v>219</v>
      </c>
      <c r="C4" s="66">
        <v>198</v>
      </c>
      <c r="D4" s="67">
        <v>181</v>
      </c>
      <c r="E4" s="58">
        <v>172</v>
      </c>
    </row>
    <row r="5" spans="1:7" ht="15" customHeight="1">
      <c r="A5" s="65">
        <v>0.03</v>
      </c>
      <c r="B5" s="66">
        <v>217</v>
      </c>
      <c r="C5" s="66">
        <v>196</v>
      </c>
      <c r="D5" s="67">
        <v>179</v>
      </c>
      <c r="E5" s="58">
        <v>170</v>
      </c>
    </row>
    <row r="6" spans="1:7" ht="15" customHeight="1">
      <c r="A6" s="65">
        <v>0.04</v>
      </c>
      <c r="B6" s="66">
        <v>215</v>
      </c>
      <c r="C6" s="66">
        <v>194</v>
      </c>
      <c r="D6" s="67">
        <v>177</v>
      </c>
      <c r="E6" s="58">
        <v>168</v>
      </c>
    </row>
    <row r="7" spans="1:7" ht="15" customHeight="1">
      <c r="A7" s="65">
        <v>0.05</v>
      </c>
      <c r="B7" s="66">
        <v>213</v>
      </c>
      <c r="C7" s="66">
        <v>192</v>
      </c>
      <c r="D7" s="67">
        <v>175</v>
      </c>
      <c r="E7" s="58">
        <v>166</v>
      </c>
    </row>
    <row r="9" spans="1:7" ht="15" customHeight="1">
      <c r="A9" s="31" t="s">
        <v>148</v>
      </c>
    </row>
    <row r="10" spans="1:7" ht="15" customHeight="1">
      <c r="A10" s="31" t="s">
        <v>149</v>
      </c>
    </row>
    <row r="11" spans="1:7" ht="15" customHeight="1">
      <c r="A11" s="31" t="s">
        <v>150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7"/>
  <sheetViews>
    <sheetView tabSelected="1" topLeftCell="A23" zoomScale="150" zoomScaleNormal="150" workbookViewId="0">
      <selection activeCell="C55" sqref="C55"/>
    </sheetView>
  </sheetViews>
  <sheetFormatPr baseColWidth="10" defaultColWidth="8.6640625" defaultRowHeight="15"/>
  <cols>
    <col min="1" max="1" width="20" customWidth="1"/>
    <col min="2" max="2" width="7" customWidth="1"/>
    <col min="3" max="6" width="12" customWidth="1"/>
    <col min="7" max="7" width="10" customWidth="1"/>
    <col min="8" max="9" width="8" customWidth="1"/>
    <col min="10" max="10" width="11" customWidth="1"/>
  </cols>
  <sheetData>
    <row r="1" spans="1:10" ht="15.75" customHeight="1">
      <c r="A1" s="13" t="s">
        <v>151</v>
      </c>
      <c r="B1" s="2"/>
      <c r="C1" s="2"/>
      <c r="D1" s="2"/>
      <c r="E1" s="2"/>
      <c r="F1" s="2"/>
    </row>
    <row r="2" spans="1:10" ht="15" customHeight="1">
      <c r="A2" s="3" t="s">
        <v>152</v>
      </c>
    </row>
    <row r="4" spans="1:10" ht="16.5" customHeight="1">
      <c r="A4" s="10" t="s">
        <v>153</v>
      </c>
      <c r="B4" s="2"/>
      <c r="C4" s="2"/>
      <c r="D4" s="2"/>
      <c r="E4" s="2"/>
      <c r="F4" s="2"/>
    </row>
    <row r="5" spans="1:10" ht="15" customHeight="1">
      <c r="A5" s="9" t="s">
        <v>154</v>
      </c>
      <c r="B5" s="5" t="s">
        <v>155</v>
      </c>
      <c r="D5" s="43" t="s">
        <v>156</v>
      </c>
    </row>
    <row r="6" spans="1:10" ht="15" customHeight="1">
      <c r="A6" s="9" t="s">
        <v>157</v>
      </c>
      <c r="B6" s="5" t="s">
        <v>158</v>
      </c>
      <c r="D6" s="43" t="s">
        <v>159</v>
      </c>
    </row>
    <row r="7" spans="1:10" ht="15" customHeight="1">
      <c r="A7" s="5" t="s">
        <v>160</v>
      </c>
      <c r="B7" s="5" t="s">
        <v>161</v>
      </c>
      <c r="D7" s="43" t="s">
        <v>162</v>
      </c>
    </row>
    <row r="9" spans="1:10" ht="16.5" customHeight="1">
      <c r="A9" s="10" t="s">
        <v>163</v>
      </c>
      <c r="B9" s="2"/>
      <c r="C9" s="2"/>
      <c r="D9" s="2"/>
      <c r="E9" s="2"/>
      <c r="F9" s="2"/>
    </row>
    <row r="10" spans="1:10" ht="15" customHeight="1">
      <c r="A10" s="68" t="s">
        <v>164</v>
      </c>
      <c r="B10" s="68" t="s">
        <v>165</v>
      </c>
      <c r="C10" s="40" t="s">
        <v>166</v>
      </c>
      <c r="D10" s="68" t="s">
        <v>167</v>
      </c>
      <c r="E10" s="40" t="s">
        <v>168</v>
      </c>
      <c r="F10" s="40" t="s">
        <v>169</v>
      </c>
      <c r="G10" s="68" t="s">
        <v>170</v>
      </c>
      <c r="J10" s="69" t="s">
        <v>171</v>
      </c>
    </row>
    <row r="11" spans="1:10" ht="15" customHeight="1">
      <c r="A11" s="70" t="s">
        <v>172</v>
      </c>
      <c r="B11" s="71" t="s">
        <v>173</v>
      </c>
      <c r="C11" s="72">
        <v>18.100000000000001</v>
      </c>
      <c r="D11" s="73">
        <v>8.1</v>
      </c>
      <c r="E11" s="73">
        <v>14.98</v>
      </c>
      <c r="F11" s="74">
        <f t="shared" ref="F11:F39" si="0">IFERROR((E11/D11)^(1/5)-1,"")</f>
        <v>0.1308509283586301</v>
      </c>
      <c r="G11" s="75" t="s">
        <v>174</v>
      </c>
      <c r="H11" s="76">
        <f t="shared" ref="H11:H39" si="1">IF(G11="O",C11,"")</f>
        <v>18.100000000000001</v>
      </c>
      <c r="I11" s="77">
        <f t="shared" ref="I11:I39" si="2">IF(G11="O",F11,"")</f>
        <v>0.1308509283586301</v>
      </c>
      <c r="J11" s="78">
        <v>-0.47</v>
      </c>
    </row>
    <row r="12" spans="1:10" ht="15" customHeight="1">
      <c r="A12" s="5" t="s">
        <v>175</v>
      </c>
      <c r="B12" s="79" t="s">
        <v>176</v>
      </c>
      <c r="C12" s="80">
        <v>20.6</v>
      </c>
      <c r="D12" s="41">
        <v>14.66</v>
      </c>
      <c r="E12" s="41">
        <v>24.87</v>
      </c>
      <c r="F12" s="74">
        <f t="shared" si="0"/>
        <v>0.11149717440302997</v>
      </c>
      <c r="G12" s="75" t="s">
        <v>174</v>
      </c>
      <c r="H12" s="76">
        <f t="shared" si="1"/>
        <v>20.6</v>
      </c>
      <c r="I12" s="77">
        <f t="shared" si="2"/>
        <v>0.11149717440302997</v>
      </c>
      <c r="J12" s="78">
        <v>-0.3</v>
      </c>
    </row>
    <row r="13" spans="1:10" ht="15" customHeight="1">
      <c r="A13" s="5" t="s">
        <v>177</v>
      </c>
      <c r="B13" s="79" t="s">
        <v>176</v>
      </c>
      <c r="C13" s="80">
        <v>26.26</v>
      </c>
      <c r="D13" s="41">
        <v>13.67</v>
      </c>
      <c r="E13" s="41">
        <v>24.29</v>
      </c>
      <c r="F13" s="74">
        <f t="shared" si="0"/>
        <v>0.1218422706282063</v>
      </c>
      <c r="G13" s="75" t="s">
        <v>174</v>
      </c>
      <c r="H13" s="76">
        <f t="shared" si="1"/>
        <v>26.26</v>
      </c>
      <c r="I13" s="77">
        <f t="shared" si="2"/>
        <v>0.1218422706282063</v>
      </c>
      <c r="J13" s="78">
        <v>-0.23</v>
      </c>
    </row>
    <row r="14" spans="1:10" ht="15" customHeight="1">
      <c r="A14" s="5" t="s">
        <v>95</v>
      </c>
      <c r="B14" s="79" t="s">
        <v>176</v>
      </c>
      <c r="C14" s="80">
        <v>28.93</v>
      </c>
      <c r="D14" s="41">
        <v>15.69</v>
      </c>
      <c r="E14" s="41">
        <v>31.71</v>
      </c>
      <c r="F14" s="74">
        <f t="shared" si="0"/>
        <v>0.15110425611054401</v>
      </c>
      <c r="G14" s="75" t="s">
        <v>174</v>
      </c>
      <c r="H14" s="76">
        <f t="shared" si="1"/>
        <v>28.93</v>
      </c>
      <c r="I14" s="77">
        <f t="shared" si="2"/>
        <v>0.15110425611054401</v>
      </c>
      <c r="J14" s="78">
        <v>-0.1</v>
      </c>
    </row>
    <row r="15" spans="1:10" ht="15" customHeight="1">
      <c r="A15" s="5" t="s">
        <v>178</v>
      </c>
      <c r="B15" s="79" t="s">
        <v>176</v>
      </c>
      <c r="C15" s="80">
        <v>21.57</v>
      </c>
      <c r="D15" s="41">
        <v>6.48</v>
      </c>
      <c r="E15" s="41">
        <v>12.14</v>
      </c>
      <c r="F15" s="74">
        <f t="shared" si="0"/>
        <v>0.13377985498538503</v>
      </c>
      <c r="G15" s="75" t="s">
        <v>174</v>
      </c>
      <c r="H15" s="76">
        <f t="shared" si="1"/>
        <v>21.57</v>
      </c>
      <c r="I15" s="77">
        <f t="shared" si="2"/>
        <v>0.13377985498538503</v>
      </c>
      <c r="J15" s="78">
        <v>-0.35</v>
      </c>
    </row>
    <row r="16" spans="1:10" ht="15" customHeight="1">
      <c r="A16" s="5" t="s">
        <v>179</v>
      </c>
      <c r="B16" s="79" t="s">
        <v>176</v>
      </c>
      <c r="C16" s="80">
        <v>12.55</v>
      </c>
      <c r="D16" s="41">
        <v>15.55</v>
      </c>
      <c r="E16" s="41">
        <v>24.73</v>
      </c>
      <c r="F16" s="74">
        <f t="shared" si="0"/>
        <v>9.7232706373996391E-2</v>
      </c>
      <c r="G16" s="75" t="s">
        <v>174</v>
      </c>
      <c r="H16" s="76">
        <f t="shared" si="1"/>
        <v>12.55</v>
      </c>
      <c r="I16" s="77">
        <f t="shared" si="2"/>
        <v>9.7232706373996391E-2</v>
      </c>
      <c r="J16" s="78"/>
    </row>
    <row r="17" spans="1:10" ht="15" customHeight="1">
      <c r="A17" s="5" t="s">
        <v>180</v>
      </c>
      <c r="B17" s="79" t="s">
        <v>176</v>
      </c>
      <c r="C17" s="80">
        <v>25.4</v>
      </c>
      <c r="D17" s="41">
        <v>26.54</v>
      </c>
      <c r="E17" s="41">
        <v>79.48</v>
      </c>
      <c r="F17" s="74">
        <f t="shared" si="0"/>
        <v>0.24529254442484838</v>
      </c>
      <c r="G17" s="75" t="s">
        <v>174</v>
      </c>
      <c r="H17" s="76">
        <f t="shared" si="1"/>
        <v>25.4</v>
      </c>
      <c r="I17" s="77">
        <f t="shared" si="2"/>
        <v>0.24529254442484838</v>
      </c>
      <c r="J17" s="78"/>
    </row>
    <row r="18" spans="1:10" ht="15" customHeight="1">
      <c r="A18" s="5" t="s">
        <v>181</v>
      </c>
      <c r="B18" s="79" t="s">
        <v>176</v>
      </c>
      <c r="C18" s="80">
        <v>11.29</v>
      </c>
      <c r="D18" s="41">
        <v>9.65</v>
      </c>
      <c r="E18" s="41">
        <v>22.42</v>
      </c>
      <c r="F18" s="74">
        <f t="shared" si="0"/>
        <v>0.18364552084678198</v>
      </c>
      <c r="G18" s="75" t="s">
        <v>174</v>
      </c>
      <c r="H18" s="76">
        <f t="shared" si="1"/>
        <v>11.29</v>
      </c>
      <c r="I18" s="77">
        <f t="shared" si="2"/>
        <v>0.18364552084678198</v>
      </c>
      <c r="J18" s="78"/>
    </row>
    <row r="19" spans="1:10" ht="15" customHeight="1">
      <c r="A19" s="5" t="s">
        <v>182</v>
      </c>
      <c r="B19" s="79" t="s">
        <v>176</v>
      </c>
      <c r="C19" s="80">
        <v>18.38</v>
      </c>
      <c r="D19" s="41">
        <v>5.32</v>
      </c>
      <c r="E19" s="41">
        <v>15.74</v>
      </c>
      <c r="F19" s="74">
        <f t="shared" si="0"/>
        <v>0.2422774992806187</v>
      </c>
      <c r="G19" s="75" t="s">
        <v>174</v>
      </c>
      <c r="H19" s="76">
        <f t="shared" si="1"/>
        <v>18.38</v>
      </c>
      <c r="I19" s="77">
        <f t="shared" si="2"/>
        <v>0.2422774992806187</v>
      </c>
      <c r="J19" s="78"/>
    </row>
    <row r="20" spans="1:10" ht="15" customHeight="1">
      <c r="A20" s="5" t="s">
        <v>183</v>
      </c>
      <c r="B20" s="79" t="s">
        <v>176</v>
      </c>
      <c r="C20" s="80">
        <v>14.33</v>
      </c>
      <c r="D20" s="41">
        <v>2.3199999999999998</v>
      </c>
      <c r="E20" s="41">
        <v>6.03</v>
      </c>
      <c r="F20" s="74">
        <f t="shared" si="0"/>
        <v>0.21050298705309434</v>
      </c>
      <c r="G20" s="75" t="s">
        <v>174</v>
      </c>
      <c r="H20" s="76">
        <f t="shared" si="1"/>
        <v>14.33</v>
      </c>
      <c r="I20" s="77">
        <f t="shared" si="2"/>
        <v>0.21050298705309434</v>
      </c>
      <c r="J20" s="78"/>
    </row>
    <row r="21" spans="1:10" ht="15" customHeight="1">
      <c r="A21" s="81" t="s">
        <v>184</v>
      </c>
      <c r="B21" s="82" t="s">
        <v>176</v>
      </c>
      <c r="C21" s="83">
        <v>23.22</v>
      </c>
      <c r="D21" s="84">
        <v>0.02</v>
      </c>
      <c r="E21" s="84">
        <v>2.86</v>
      </c>
      <c r="F21" s="85">
        <f t="shared" si="0"/>
        <v>1.6981569425472878</v>
      </c>
      <c r="G21" s="86" t="s">
        <v>185</v>
      </c>
      <c r="H21" s="87" t="str">
        <f t="shared" si="1"/>
        <v/>
      </c>
      <c r="I21" s="87" t="str">
        <f t="shared" si="2"/>
        <v/>
      </c>
      <c r="J21" s="88"/>
    </row>
    <row r="22" spans="1:10" ht="15" customHeight="1">
      <c r="A22" s="5" t="s">
        <v>186</v>
      </c>
      <c r="B22" s="79" t="s">
        <v>176</v>
      </c>
      <c r="C22" s="80">
        <v>14.8</v>
      </c>
      <c r="D22" s="41">
        <v>8.8699999999999992</v>
      </c>
      <c r="E22" s="41">
        <v>20</v>
      </c>
      <c r="F22" s="74">
        <f t="shared" si="0"/>
        <v>0.17657949439186504</v>
      </c>
      <c r="G22" s="75" t="s">
        <v>174</v>
      </c>
      <c r="H22" s="76">
        <f t="shared" si="1"/>
        <v>14.8</v>
      </c>
      <c r="I22" s="77">
        <f t="shared" si="2"/>
        <v>0.17657949439186504</v>
      </c>
      <c r="J22" s="78"/>
    </row>
    <row r="23" spans="1:10" ht="15" customHeight="1">
      <c r="A23" s="5" t="s">
        <v>187</v>
      </c>
      <c r="B23" s="79" t="s">
        <v>188</v>
      </c>
      <c r="C23" s="80">
        <v>19.239999999999998</v>
      </c>
      <c r="D23" s="41">
        <v>7.2</v>
      </c>
      <c r="E23" s="41">
        <v>16.22</v>
      </c>
      <c r="F23" s="74">
        <f t="shared" si="0"/>
        <v>0.17636926911049988</v>
      </c>
      <c r="G23" s="75" t="s">
        <v>174</v>
      </c>
      <c r="H23" s="76">
        <f t="shared" si="1"/>
        <v>19.239999999999998</v>
      </c>
      <c r="I23" s="77">
        <f t="shared" si="2"/>
        <v>0.17636926911049988</v>
      </c>
      <c r="J23" s="78"/>
    </row>
    <row r="24" spans="1:10" ht="15" customHeight="1">
      <c r="A24" s="5" t="s">
        <v>189</v>
      </c>
      <c r="B24" s="79" t="s">
        <v>188</v>
      </c>
      <c r="C24" s="80">
        <v>14.5</v>
      </c>
      <c r="D24" s="41">
        <v>14.2</v>
      </c>
      <c r="E24" s="41">
        <v>25.63</v>
      </c>
      <c r="F24" s="74">
        <f t="shared" si="0"/>
        <v>0.12536149750229919</v>
      </c>
      <c r="G24" s="75" t="s">
        <v>174</v>
      </c>
      <c r="H24" s="76">
        <f t="shared" si="1"/>
        <v>14.5</v>
      </c>
      <c r="I24" s="77">
        <f t="shared" si="2"/>
        <v>0.12536149750229919</v>
      </c>
      <c r="J24" s="78"/>
    </row>
    <row r="25" spans="1:10" ht="15" customHeight="1">
      <c r="A25" s="5" t="s">
        <v>190</v>
      </c>
      <c r="B25" s="79" t="s">
        <v>188</v>
      </c>
      <c r="C25" s="80">
        <v>45.83</v>
      </c>
      <c r="D25" s="41">
        <v>4.08</v>
      </c>
      <c r="E25" s="41">
        <v>7.63</v>
      </c>
      <c r="F25" s="74">
        <f t="shared" si="0"/>
        <v>0.13337303290696267</v>
      </c>
      <c r="G25" s="75" t="s">
        <v>174</v>
      </c>
      <c r="H25" s="76">
        <f t="shared" si="1"/>
        <v>45.83</v>
      </c>
      <c r="I25" s="77">
        <f t="shared" si="2"/>
        <v>0.13337303290696267</v>
      </c>
      <c r="J25" s="78"/>
    </row>
    <row r="26" spans="1:10" ht="15" customHeight="1">
      <c r="A26" s="5" t="s">
        <v>191</v>
      </c>
      <c r="B26" s="79" t="s">
        <v>188</v>
      </c>
      <c r="C26" s="80">
        <v>35.03</v>
      </c>
      <c r="D26" s="41">
        <v>8.0399999999999991</v>
      </c>
      <c r="E26" s="41">
        <v>13.27</v>
      </c>
      <c r="F26" s="74">
        <f t="shared" si="0"/>
        <v>0.10540894561129521</v>
      </c>
      <c r="G26" s="75" t="s">
        <v>174</v>
      </c>
      <c r="H26" s="76">
        <f t="shared" si="1"/>
        <v>35.03</v>
      </c>
      <c r="I26" s="77">
        <f t="shared" si="2"/>
        <v>0.10540894561129521</v>
      </c>
      <c r="J26" s="78"/>
    </row>
    <row r="27" spans="1:10" ht="15" customHeight="1">
      <c r="A27" s="5" t="s">
        <v>192</v>
      </c>
      <c r="B27" s="79" t="s">
        <v>188</v>
      </c>
      <c r="C27" s="80">
        <v>31.02</v>
      </c>
      <c r="D27" s="41">
        <v>6.55</v>
      </c>
      <c r="E27" s="41">
        <v>12.05</v>
      </c>
      <c r="F27" s="74">
        <f t="shared" si="0"/>
        <v>0.12966363701893413</v>
      </c>
      <c r="G27" s="75" t="s">
        <v>174</v>
      </c>
      <c r="H27" s="76">
        <f t="shared" si="1"/>
        <v>31.02</v>
      </c>
      <c r="I27" s="77">
        <f t="shared" si="2"/>
        <v>0.12966363701893413</v>
      </c>
      <c r="J27" s="78"/>
    </row>
    <row r="28" spans="1:10" ht="15" customHeight="1">
      <c r="A28" s="81" t="s">
        <v>193</v>
      </c>
      <c r="B28" s="82" t="s">
        <v>188</v>
      </c>
      <c r="C28" s="83">
        <v>37.99</v>
      </c>
      <c r="D28" s="84">
        <v>0.81</v>
      </c>
      <c r="E28" s="84">
        <v>4.72</v>
      </c>
      <c r="F28" s="85">
        <f t="shared" si="0"/>
        <v>0.422628143382618</v>
      </c>
      <c r="G28" s="86" t="s">
        <v>185</v>
      </c>
      <c r="H28" s="87" t="str">
        <f t="shared" si="1"/>
        <v/>
      </c>
      <c r="I28" s="87" t="str">
        <f t="shared" si="2"/>
        <v/>
      </c>
      <c r="J28" s="88"/>
    </row>
    <row r="29" spans="1:10" ht="15" customHeight="1">
      <c r="A29" s="81" t="s">
        <v>194</v>
      </c>
      <c r="B29" s="82" t="s">
        <v>188</v>
      </c>
      <c r="C29" s="83">
        <v>25.91</v>
      </c>
      <c r="D29" s="84">
        <v>0.11</v>
      </c>
      <c r="E29" s="84">
        <v>2.2799999999999998</v>
      </c>
      <c r="F29" s="85">
        <f t="shared" si="0"/>
        <v>0.83361617919473785</v>
      </c>
      <c r="G29" s="86" t="s">
        <v>185</v>
      </c>
      <c r="H29" s="87" t="str">
        <f t="shared" si="1"/>
        <v/>
      </c>
      <c r="I29" s="87" t="str">
        <f t="shared" si="2"/>
        <v/>
      </c>
      <c r="J29" s="88"/>
    </row>
    <row r="30" spans="1:10" ht="15" customHeight="1">
      <c r="A30" s="5" t="s">
        <v>195</v>
      </c>
      <c r="B30" s="79" t="s">
        <v>196</v>
      </c>
      <c r="C30" s="80">
        <v>13.61</v>
      </c>
      <c r="D30" s="41">
        <v>7.8</v>
      </c>
      <c r="E30" s="41">
        <v>13.85</v>
      </c>
      <c r="F30" s="74">
        <f t="shared" si="0"/>
        <v>0.12168531493267132</v>
      </c>
      <c r="G30" s="75" t="s">
        <v>174</v>
      </c>
      <c r="H30" s="76">
        <f t="shared" si="1"/>
        <v>13.61</v>
      </c>
      <c r="I30" s="77">
        <f t="shared" si="2"/>
        <v>0.12168531493267132</v>
      </c>
      <c r="J30" s="78"/>
    </row>
    <row r="31" spans="1:10" ht="15" customHeight="1">
      <c r="A31" s="5" t="s">
        <v>197</v>
      </c>
      <c r="B31" s="79" t="s">
        <v>196</v>
      </c>
      <c r="C31" s="80">
        <v>10.16</v>
      </c>
      <c r="D31" s="41">
        <v>16.7</v>
      </c>
      <c r="E31" s="41">
        <v>28.67</v>
      </c>
      <c r="F31" s="74">
        <f t="shared" si="0"/>
        <v>0.1141463564498717</v>
      </c>
      <c r="G31" s="75" t="s">
        <v>174</v>
      </c>
      <c r="H31" s="76">
        <f t="shared" si="1"/>
        <v>10.16</v>
      </c>
      <c r="I31" s="77">
        <f t="shared" si="2"/>
        <v>0.1141463564498717</v>
      </c>
      <c r="J31" s="78"/>
    </row>
    <row r="32" spans="1:10" ht="15" customHeight="1">
      <c r="A32" s="5" t="s">
        <v>198</v>
      </c>
      <c r="B32" s="79" t="s">
        <v>196</v>
      </c>
      <c r="C32" s="80">
        <v>19.399999999999999</v>
      </c>
      <c r="D32" s="41">
        <v>5.23</v>
      </c>
      <c r="E32" s="41">
        <v>14.83</v>
      </c>
      <c r="F32" s="74">
        <f t="shared" si="0"/>
        <v>0.23176509293789982</v>
      </c>
      <c r="G32" s="75" t="s">
        <v>174</v>
      </c>
      <c r="H32" s="76">
        <f t="shared" si="1"/>
        <v>19.399999999999999</v>
      </c>
      <c r="I32" s="77">
        <f t="shared" si="2"/>
        <v>0.23176509293789982</v>
      </c>
      <c r="J32" s="78"/>
    </row>
    <row r="33" spans="1:10" ht="15" customHeight="1">
      <c r="A33" s="5" t="s">
        <v>199</v>
      </c>
      <c r="B33" s="79" t="s">
        <v>196</v>
      </c>
      <c r="C33" s="80">
        <v>11.54</v>
      </c>
      <c r="D33" s="41">
        <v>2.59</v>
      </c>
      <c r="E33" s="41">
        <v>8.8699999999999992</v>
      </c>
      <c r="F33" s="74">
        <f t="shared" si="0"/>
        <v>0.27915970786133815</v>
      </c>
      <c r="G33" s="75" t="s">
        <v>174</v>
      </c>
      <c r="H33" s="76">
        <f t="shared" si="1"/>
        <v>11.54</v>
      </c>
      <c r="I33" s="77">
        <f t="shared" si="2"/>
        <v>0.27915970786133815</v>
      </c>
      <c r="J33" s="78"/>
    </row>
    <row r="34" spans="1:10" ht="15" customHeight="1">
      <c r="A34" s="5" t="s">
        <v>200</v>
      </c>
      <c r="B34" s="79" t="s">
        <v>196</v>
      </c>
      <c r="C34" s="80">
        <v>23.56</v>
      </c>
      <c r="D34" s="41">
        <v>1.67</v>
      </c>
      <c r="E34" s="41">
        <v>4.4800000000000004</v>
      </c>
      <c r="F34" s="74">
        <f t="shared" si="0"/>
        <v>0.21818236617025244</v>
      </c>
      <c r="G34" s="75" t="s">
        <v>174</v>
      </c>
      <c r="H34" s="76">
        <f t="shared" si="1"/>
        <v>23.56</v>
      </c>
      <c r="I34" s="77">
        <f t="shared" si="2"/>
        <v>0.21818236617025244</v>
      </c>
      <c r="J34" s="78"/>
    </row>
    <row r="35" spans="1:10" ht="15" customHeight="1">
      <c r="A35" s="5" t="s">
        <v>201</v>
      </c>
      <c r="B35" s="79" t="s">
        <v>196</v>
      </c>
      <c r="C35" s="80">
        <v>12.02</v>
      </c>
      <c r="D35" s="41">
        <v>13.67</v>
      </c>
      <c r="E35" s="41">
        <v>28.8</v>
      </c>
      <c r="F35" s="74">
        <f t="shared" si="0"/>
        <v>0.16071285585528838</v>
      </c>
      <c r="G35" s="75" t="s">
        <v>174</v>
      </c>
      <c r="H35" s="76">
        <f t="shared" si="1"/>
        <v>12.02</v>
      </c>
      <c r="I35" s="77">
        <f t="shared" si="2"/>
        <v>0.16071285585528838</v>
      </c>
      <c r="J35" s="78"/>
    </row>
    <row r="36" spans="1:10" ht="15" customHeight="1">
      <c r="A36" s="81" t="s">
        <v>202</v>
      </c>
      <c r="B36" s="82" t="s">
        <v>196</v>
      </c>
      <c r="C36" s="83">
        <v>14.12</v>
      </c>
      <c r="D36" s="84">
        <v>0.8</v>
      </c>
      <c r="E36" s="84">
        <v>2.67</v>
      </c>
      <c r="F36" s="85">
        <f t="shared" si="0"/>
        <v>0.27257754253524258</v>
      </c>
      <c r="G36" s="86" t="s">
        <v>185</v>
      </c>
      <c r="H36" s="87" t="str">
        <f t="shared" si="1"/>
        <v/>
      </c>
      <c r="I36" s="87" t="str">
        <f t="shared" si="2"/>
        <v/>
      </c>
      <c r="J36" s="88"/>
    </row>
    <row r="37" spans="1:10" ht="15" customHeight="1">
      <c r="A37" s="81" t="s">
        <v>203</v>
      </c>
      <c r="B37" s="82" t="s">
        <v>196</v>
      </c>
      <c r="C37" s="83">
        <v>14.72</v>
      </c>
      <c r="D37" s="84">
        <v>0.86</v>
      </c>
      <c r="E37" s="84">
        <v>14.14</v>
      </c>
      <c r="F37" s="85">
        <f t="shared" si="0"/>
        <v>0.75061317108148495</v>
      </c>
      <c r="G37" s="86" t="s">
        <v>185</v>
      </c>
      <c r="H37" s="87" t="str">
        <f t="shared" si="1"/>
        <v/>
      </c>
      <c r="I37" s="87" t="str">
        <f t="shared" si="2"/>
        <v/>
      </c>
      <c r="J37" s="88"/>
    </row>
    <row r="38" spans="1:10" ht="15" customHeight="1">
      <c r="A38" s="81" t="s">
        <v>204</v>
      </c>
      <c r="B38" s="82" t="s">
        <v>196</v>
      </c>
      <c r="C38" s="83">
        <v>90.26</v>
      </c>
      <c r="D38" s="84">
        <v>0.31</v>
      </c>
      <c r="E38" s="84">
        <v>3.75</v>
      </c>
      <c r="F38" s="85">
        <f t="shared" si="0"/>
        <v>0.64639453099658373</v>
      </c>
      <c r="G38" s="86" t="s">
        <v>185</v>
      </c>
      <c r="H38" s="87" t="str">
        <f t="shared" si="1"/>
        <v/>
      </c>
      <c r="I38" s="87" t="str">
        <f t="shared" si="2"/>
        <v/>
      </c>
      <c r="J38" s="88"/>
    </row>
    <row r="39" spans="1:10" ht="15" customHeight="1">
      <c r="A39" s="5" t="s">
        <v>205</v>
      </c>
      <c r="B39" s="79" t="s">
        <v>196</v>
      </c>
      <c r="C39" s="80">
        <v>95.97</v>
      </c>
      <c r="D39" s="41">
        <v>1.25</v>
      </c>
      <c r="E39" s="41">
        <v>4.51</v>
      </c>
      <c r="F39" s="74">
        <f t="shared" si="0"/>
        <v>0.29256771977772655</v>
      </c>
      <c r="G39" s="75" t="s">
        <v>174</v>
      </c>
      <c r="H39" s="76">
        <f t="shared" si="1"/>
        <v>95.97</v>
      </c>
      <c r="I39" s="77">
        <f t="shared" si="2"/>
        <v>0.29256771977772655</v>
      </c>
      <c r="J39" s="78"/>
    </row>
    <row r="41" spans="1:10" ht="16.5" customHeight="1">
      <c r="A41" s="89" t="s">
        <v>206</v>
      </c>
      <c r="B41" s="2"/>
      <c r="C41" s="2"/>
      <c r="D41" s="2"/>
      <c r="E41" s="2"/>
      <c r="F41" s="2"/>
    </row>
    <row r="42" spans="1:10" ht="15" customHeight="1">
      <c r="A42" s="68" t="s">
        <v>207</v>
      </c>
      <c r="C42" s="90" t="s">
        <v>208</v>
      </c>
      <c r="E42" s="68" t="s">
        <v>209</v>
      </c>
    </row>
    <row r="43" spans="1:10" ht="15" customHeight="1">
      <c r="A43" s="91" t="s">
        <v>210</v>
      </c>
      <c r="C43" s="92">
        <f>MEDIAN(H12:H23)</f>
        <v>19.239999999999998</v>
      </c>
      <c r="E43" s="93">
        <f>MEDIAN(I12:I23)</f>
        <v>0.17636926911049988</v>
      </c>
    </row>
    <row r="44" spans="1:10" ht="15" customHeight="1">
      <c r="A44" s="91" t="s">
        <v>211</v>
      </c>
      <c r="C44" s="92">
        <f>MEDIAN(H12:H30)</f>
        <v>19.920000000000002</v>
      </c>
      <c r="E44" s="93">
        <f>MEDIAN(I12:I30)</f>
        <v>0.13357644394617385</v>
      </c>
    </row>
    <row r="45" spans="1:10" ht="15" customHeight="1">
      <c r="A45" s="9" t="s">
        <v>212</v>
      </c>
      <c r="C45" s="92">
        <f>MEDIAN(H12:H39)</f>
        <v>19.32</v>
      </c>
      <c r="E45" s="93">
        <f>MEDIAN(I12:I39)</f>
        <v>0.1559085559829162</v>
      </c>
    </row>
    <row r="47" spans="1:10" ht="15" customHeight="1">
      <c r="A47" s="94" t="s">
        <v>172</v>
      </c>
      <c r="C47" s="95">
        <f>C11</f>
        <v>18.100000000000001</v>
      </c>
      <c r="E47" s="96">
        <f>F11</f>
        <v>0.1308509283586301</v>
      </c>
    </row>
    <row r="48" spans="1:10" ht="15" customHeight="1">
      <c r="A48" s="94" t="s">
        <v>213</v>
      </c>
      <c r="C48" s="97">
        <f>C11/C43-1</f>
        <v>-5.9251559251559116E-2</v>
      </c>
    </row>
    <row r="49" spans="1:5" ht="15" customHeight="1">
      <c r="A49" s="98" t="s">
        <v>214</v>
      </c>
      <c r="C49" s="99">
        <f>AVERAGE(J11:J39)</f>
        <v>-0.29000000000000004</v>
      </c>
      <c r="E49" s="100" t="s">
        <v>215</v>
      </c>
    </row>
    <row r="50" spans="1:5" ht="15" customHeight="1">
      <c r="A50" s="31" t="s">
        <v>216</v>
      </c>
      <c r="C50" s="101"/>
    </row>
    <row r="51" spans="1:5" ht="15" customHeight="1">
      <c r="A51" s="31" t="s">
        <v>217</v>
      </c>
      <c r="C51" s="102"/>
    </row>
    <row r="52" spans="1:5" ht="15" customHeight="1">
      <c r="A52" s="31" t="s">
        <v>218</v>
      </c>
    </row>
    <row r="53" spans="1:5" ht="15" customHeight="1">
      <c r="A53" s="31" t="s">
        <v>219</v>
      </c>
    </row>
    <row r="54" spans="1:5" ht="15" customHeight="1">
      <c r="A54" s="103" t="s">
        <v>220</v>
      </c>
    </row>
    <row r="55" spans="1:5" ht="15" customHeight="1">
      <c r="A55" s="43"/>
    </row>
    <row r="56" spans="1:5" ht="15" customHeight="1">
      <c r="A56" s="43"/>
    </row>
    <row r="57" spans="1:5" ht="15" customHeight="1">
      <c r="A57" s="31"/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Assumptions</vt:lpstr>
      <vt:lpstr>SOTP_Revenue</vt:lpstr>
      <vt:lpstr>DCF</vt:lpstr>
      <vt:lpstr>Beta</vt:lpstr>
      <vt:lpstr>Scenarios</vt:lpstr>
      <vt:lpstr>Sensitivity</vt:lpstr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Minyoung Kim</cp:lastModifiedBy>
  <cp:revision>0</cp:revision>
  <dcterms:created xsi:type="dcterms:W3CDTF">2026-05-22T22:57:09Z</dcterms:created>
  <dcterms:modified xsi:type="dcterms:W3CDTF">2026-05-23T00:57:17Z</dcterms:modified>
  <dc:language>en-US</dc:language>
</cp:coreProperties>
</file>